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149518018d353dd2/Desktop/"/>
    </mc:Choice>
  </mc:AlternateContent>
  <xr:revisionPtr revIDLastSave="0" documentId="8_{81998CAF-03E0-480E-9C16-C1D03A9F9059}" xr6:coauthVersionLast="47" xr6:coauthVersionMax="47" xr10:uidLastSave="{00000000-0000-0000-0000-000000000000}"/>
  <bookViews>
    <workbookView xWindow="-120" yWindow="-120" windowWidth="29040" windowHeight="17520" activeTab="2" xr2:uid="{00000000-000D-0000-FFFF-FFFF00000000}"/>
  </bookViews>
  <sheets>
    <sheet name="WAFTA Summer 2026" sheetId="1" r:id="rId1"/>
    <sheet name="Rolling 12%" sheetId="2" r:id="rId2"/>
    <sheet name="Grading - Summer 2026" sheetId="3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2" i="2" l="1"/>
  <c r="G112" i="2"/>
  <c r="H110" i="2"/>
  <c r="G110" i="2"/>
  <c r="H109" i="2"/>
  <c r="G109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X40" i="1"/>
  <c r="V40" i="1"/>
  <c r="T40" i="1"/>
  <c r="R40" i="1"/>
  <c r="P40" i="1"/>
  <c r="N40" i="1"/>
  <c r="L40" i="1"/>
  <c r="K40" i="1"/>
  <c r="H40" i="1"/>
  <c r="J40" i="1" s="1"/>
  <c r="X38" i="1"/>
  <c r="V38" i="1"/>
  <c r="T38" i="1"/>
  <c r="R38" i="1"/>
  <c r="P38" i="1"/>
  <c r="N38" i="1"/>
  <c r="K38" i="1"/>
  <c r="X37" i="1"/>
  <c r="V37" i="1"/>
  <c r="T37" i="1"/>
  <c r="R37" i="1"/>
  <c r="P37" i="1"/>
  <c r="N37" i="1"/>
  <c r="L37" i="1"/>
  <c r="K37" i="1"/>
  <c r="H37" i="1"/>
  <c r="X35" i="1"/>
  <c r="V35" i="1"/>
  <c r="T35" i="1"/>
  <c r="R35" i="1"/>
  <c r="P35" i="1"/>
  <c r="N35" i="1"/>
  <c r="L35" i="1"/>
  <c r="K35" i="1"/>
  <c r="H35" i="1"/>
  <c r="X34" i="1"/>
  <c r="V34" i="1"/>
  <c r="T34" i="1"/>
  <c r="R34" i="1"/>
  <c r="P34" i="1"/>
  <c r="N34" i="1"/>
  <c r="K34" i="1"/>
  <c r="X33" i="1"/>
  <c r="V33" i="1"/>
  <c r="T33" i="1"/>
  <c r="R33" i="1"/>
  <c r="P33" i="1"/>
  <c r="N33" i="1"/>
  <c r="L33" i="1"/>
  <c r="K33" i="1"/>
  <c r="H33" i="1"/>
  <c r="X32" i="1"/>
  <c r="V32" i="1"/>
  <c r="T32" i="1"/>
  <c r="R32" i="1"/>
  <c r="P32" i="1"/>
  <c r="N32" i="1"/>
  <c r="K32" i="1"/>
  <c r="X31" i="1"/>
  <c r="V31" i="1"/>
  <c r="T31" i="1"/>
  <c r="R31" i="1"/>
  <c r="P31" i="1"/>
  <c r="N31" i="1"/>
  <c r="L31" i="1"/>
  <c r="K31" i="1"/>
  <c r="H31" i="1"/>
  <c r="X30" i="1"/>
  <c r="V30" i="1"/>
  <c r="T30" i="1"/>
  <c r="R30" i="1"/>
  <c r="P30" i="1"/>
  <c r="N30" i="1"/>
  <c r="H30" i="1" s="1"/>
  <c r="L30" i="1"/>
  <c r="K30" i="1"/>
  <c r="X28" i="1"/>
  <c r="V28" i="1"/>
  <c r="T28" i="1"/>
  <c r="R28" i="1"/>
  <c r="P28" i="1"/>
  <c r="N28" i="1"/>
  <c r="L28" i="1"/>
  <c r="K28" i="1"/>
  <c r="H28" i="1"/>
  <c r="J28" i="1" s="1"/>
  <c r="X27" i="1"/>
  <c r="V27" i="1"/>
  <c r="T27" i="1"/>
  <c r="R27" i="1"/>
  <c r="P27" i="1"/>
  <c r="N27" i="1"/>
  <c r="L27" i="1"/>
  <c r="K27" i="1"/>
  <c r="H27" i="1"/>
  <c r="J27" i="1" s="1"/>
  <c r="X25" i="1"/>
  <c r="V25" i="1"/>
  <c r="T25" i="1"/>
  <c r="R25" i="1"/>
  <c r="P25" i="1"/>
  <c r="N25" i="1"/>
  <c r="K25" i="1"/>
  <c r="X24" i="1"/>
  <c r="V24" i="1"/>
  <c r="T24" i="1"/>
  <c r="R24" i="1"/>
  <c r="P24" i="1"/>
  <c r="N24" i="1"/>
  <c r="L24" i="1"/>
  <c r="K24" i="1"/>
  <c r="H24" i="1"/>
  <c r="X23" i="1"/>
  <c r="V23" i="1"/>
  <c r="T23" i="1"/>
  <c r="R23" i="1"/>
  <c r="P23" i="1"/>
  <c r="N23" i="1"/>
  <c r="H23" i="1" s="1"/>
  <c r="L23" i="1"/>
  <c r="K23" i="1"/>
  <c r="X22" i="1"/>
  <c r="V22" i="1"/>
  <c r="T22" i="1"/>
  <c r="R22" i="1"/>
  <c r="P22" i="1"/>
  <c r="N22" i="1"/>
  <c r="L22" i="1"/>
  <c r="K22" i="1"/>
  <c r="H22" i="1"/>
  <c r="X21" i="1"/>
  <c r="V21" i="1"/>
  <c r="T21" i="1"/>
  <c r="R21" i="1"/>
  <c r="P21" i="1"/>
  <c r="N21" i="1"/>
  <c r="L21" i="1"/>
  <c r="K21" i="1"/>
  <c r="H21" i="1"/>
  <c r="X19" i="1"/>
  <c r="V19" i="1"/>
  <c r="T19" i="1"/>
  <c r="R19" i="1"/>
  <c r="P19" i="1"/>
  <c r="N19" i="1"/>
  <c r="K19" i="1"/>
  <c r="X18" i="1"/>
  <c r="V18" i="1"/>
  <c r="T18" i="1"/>
  <c r="R18" i="1"/>
  <c r="P18" i="1"/>
  <c r="N18" i="1"/>
  <c r="L18" i="1"/>
  <c r="K18" i="1"/>
  <c r="H18" i="1"/>
  <c r="X17" i="1"/>
  <c r="V17" i="1"/>
  <c r="T17" i="1"/>
  <c r="R17" i="1"/>
  <c r="P17" i="1"/>
  <c r="N17" i="1"/>
  <c r="K17" i="1"/>
  <c r="X16" i="1"/>
  <c r="V16" i="1"/>
  <c r="T16" i="1"/>
  <c r="R16" i="1"/>
  <c r="P16" i="1"/>
  <c r="N16" i="1"/>
  <c r="L16" i="1"/>
  <c r="K16" i="1"/>
  <c r="H16" i="1"/>
  <c r="X15" i="1"/>
  <c r="V15" i="1"/>
  <c r="T15" i="1"/>
  <c r="R15" i="1"/>
  <c r="P15" i="1"/>
  <c r="N15" i="1"/>
  <c r="H15" i="1" s="1"/>
  <c r="L15" i="1"/>
  <c r="K15" i="1"/>
  <c r="X13" i="1"/>
  <c r="V13" i="1"/>
  <c r="T13" i="1"/>
  <c r="R13" i="1"/>
  <c r="P13" i="1"/>
  <c r="N13" i="1"/>
  <c r="L13" i="1"/>
  <c r="K13" i="1"/>
  <c r="H13" i="1"/>
  <c r="X12" i="1"/>
  <c r="V12" i="1"/>
  <c r="T12" i="1"/>
  <c r="R12" i="1"/>
  <c r="P12" i="1"/>
  <c r="N12" i="1"/>
  <c r="L12" i="1"/>
  <c r="K12" i="1"/>
  <c r="H12" i="1"/>
  <c r="X11" i="1"/>
  <c r="V11" i="1"/>
  <c r="T11" i="1"/>
  <c r="R11" i="1"/>
  <c r="P11" i="1"/>
  <c r="N11" i="1"/>
  <c r="K11" i="1"/>
  <c r="X10" i="1"/>
  <c r="V10" i="1"/>
  <c r="T10" i="1"/>
  <c r="R10" i="1"/>
  <c r="P10" i="1"/>
  <c r="N10" i="1"/>
  <c r="L10" i="1"/>
  <c r="K10" i="1"/>
  <c r="H10" i="1"/>
  <c r="X9" i="1"/>
  <c r="V9" i="1"/>
  <c r="T9" i="1"/>
  <c r="R9" i="1"/>
  <c r="P9" i="1"/>
  <c r="N9" i="1"/>
  <c r="H9" i="1" s="1"/>
  <c r="L9" i="1"/>
  <c r="K9" i="1"/>
  <c r="X8" i="1"/>
  <c r="V8" i="1"/>
  <c r="T8" i="1"/>
  <c r="R8" i="1"/>
  <c r="P8" i="1"/>
  <c r="N8" i="1"/>
  <c r="L8" i="1"/>
  <c r="K8" i="1"/>
  <c r="H8" i="1"/>
  <c r="X6" i="1"/>
  <c r="V6" i="1"/>
  <c r="T6" i="1"/>
  <c r="R6" i="1"/>
  <c r="P6" i="1"/>
  <c r="N6" i="1"/>
  <c r="L6" i="1"/>
  <c r="K6" i="1"/>
  <c r="H6" i="1"/>
  <c r="J6" i="1" s="1"/>
  <c r="L38" i="1" l="1"/>
  <c r="H38" i="1"/>
  <c r="L34" i="1"/>
  <c r="H34" i="1"/>
  <c r="J34" i="1" s="1"/>
  <c r="L32" i="1"/>
  <c r="H32" i="1"/>
  <c r="H25" i="1"/>
  <c r="L25" i="1"/>
  <c r="L19" i="1"/>
  <c r="H19" i="1"/>
  <c r="J19" i="1" s="1"/>
  <c r="L17" i="1"/>
  <c r="H17" i="1"/>
  <c r="L11" i="1"/>
  <c r="H11" i="1"/>
  <c r="J37" i="1" l="1"/>
  <c r="J38" i="1"/>
  <c r="J31" i="1"/>
  <c r="J30" i="1"/>
  <c r="J33" i="1"/>
  <c r="J35" i="1"/>
  <c r="J32" i="1"/>
  <c r="J21" i="1"/>
  <c r="J22" i="1"/>
  <c r="J24" i="1"/>
  <c r="J23" i="1"/>
  <c r="J25" i="1"/>
  <c r="J16" i="1"/>
  <c r="J18" i="1"/>
  <c r="J15" i="1"/>
  <c r="J17" i="1"/>
  <c r="J8" i="1"/>
  <c r="J10" i="1"/>
  <c r="J13" i="1"/>
  <c r="J12" i="1"/>
  <c r="J9" i="1"/>
  <c r="J11" i="1"/>
</calcChain>
</file>

<file path=xl/sharedStrings.xml><?xml version="1.0" encoding="utf-8"?>
<sst xmlns="http://schemas.openxmlformats.org/spreadsheetml/2006/main" count="990" uniqueCount="189">
  <si>
    <t>Venue</t>
  </si>
  <si>
    <t>B.Gwent</t>
  </si>
  <si>
    <t>Castleton</t>
  </si>
  <si>
    <t>Quarry</t>
  </si>
  <si>
    <t>Tondu</t>
  </si>
  <si>
    <t>Oaktree</t>
  </si>
  <si>
    <t>Nelson</t>
  </si>
  <si>
    <t>WAFTA Summer Series 2026</t>
  </si>
  <si>
    <t>Graded Top Score</t>
  </si>
  <si>
    <t>Open Top Score</t>
  </si>
  <si>
    <t>Surname</t>
  </si>
  <si>
    <t>Forename</t>
  </si>
  <si>
    <t>BFTA #</t>
  </si>
  <si>
    <t>Grade</t>
  </si>
  <si>
    <t>Club</t>
  </si>
  <si>
    <t xml:space="preserve">Grand Slam Qualifier </t>
  </si>
  <si>
    <t>Total Points</t>
  </si>
  <si>
    <t>Best of 4 Total</t>
  </si>
  <si>
    <t>Position</t>
  </si>
  <si>
    <t>Shoots Attended</t>
  </si>
  <si>
    <t>Season Average</t>
  </si>
  <si>
    <t>Score</t>
  </si>
  <si>
    <t>%</t>
  </si>
  <si>
    <t>SHEPHARD</t>
  </si>
  <si>
    <t>MARK</t>
  </si>
  <si>
    <t>AA</t>
  </si>
  <si>
    <t>B/GWENT</t>
  </si>
  <si>
    <t>DAVIES</t>
  </si>
  <si>
    <t>GEORGE</t>
  </si>
  <si>
    <t>A</t>
  </si>
  <si>
    <t>KOSTROMIN</t>
  </si>
  <si>
    <t>JAMES</t>
  </si>
  <si>
    <t>TONDU</t>
  </si>
  <si>
    <t>HICKS</t>
  </si>
  <si>
    <t>DAVID</t>
  </si>
  <si>
    <t>GOOCH</t>
  </si>
  <si>
    <t>OAKTREE</t>
  </si>
  <si>
    <t>POULTER</t>
  </si>
  <si>
    <t>SIMON</t>
  </si>
  <si>
    <t>MORTLOCK</t>
  </si>
  <si>
    <t>JOHN</t>
  </si>
  <si>
    <t>QUARRY</t>
  </si>
  <si>
    <t>SMITH</t>
  </si>
  <si>
    <t>BARRY</t>
  </si>
  <si>
    <t>B</t>
  </si>
  <si>
    <t>COOPER</t>
  </si>
  <si>
    <t>GAGE</t>
  </si>
  <si>
    <t>DAVE</t>
  </si>
  <si>
    <t>WILLIAMS-DEFREITAS</t>
  </si>
  <si>
    <t>DANIELLA</t>
  </si>
  <si>
    <t>GRIFFITHS</t>
  </si>
  <si>
    <t>RICHARD</t>
  </si>
  <si>
    <t>PERKS</t>
  </si>
  <si>
    <t>TBC</t>
  </si>
  <si>
    <t>C</t>
  </si>
  <si>
    <t>CHARMAN</t>
  </si>
  <si>
    <t>NICK</t>
  </si>
  <si>
    <t>SEARLE</t>
  </si>
  <si>
    <t>LLOYD</t>
  </si>
  <si>
    <t>YOUNG</t>
  </si>
  <si>
    <t>KRIS</t>
  </si>
  <si>
    <t>THOMAS</t>
  </si>
  <si>
    <t>COLIN</t>
  </si>
  <si>
    <t>KOCIUMBAS</t>
  </si>
  <si>
    <t>PISTON</t>
  </si>
  <si>
    <t>CASTLETON</t>
  </si>
  <si>
    <t>KEVIN</t>
  </si>
  <si>
    <t>FOURACRES</t>
  </si>
  <si>
    <t>TONY</t>
  </si>
  <si>
    <t>OPEN</t>
  </si>
  <si>
    <t>McCARTHY</t>
  </si>
  <si>
    <t>CHRISTOPHER</t>
  </si>
  <si>
    <t>GARETH</t>
  </si>
  <si>
    <t>POTHECARY</t>
  </si>
  <si>
    <t>KEN</t>
  </si>
  <si>
    <t>NELSON</t>
  </si>
  <si>
    <t>ROBINSON</t>
  </si>
  <si>
    <t>GWYNNE</t>
  </si>
  <si>
    <t>HARRIS</t>
  </si>
  <si>
    <t>LEN</t>
  </si>
  <si>
    <t>STICKS</t>
  </si>
  <si>
    <t>BEVAN</t>
  </si>
  <si>
    <t>ANDREW</t>
  </si>
  <si>
    <t>OBRIEN</t>
  </si>
  <si>
    <t>CHRIS</t>
  </si>
  <si>
    <t>STICKS SEATED</t>
  </si>
  <si>
    <t>WAFTA - Rolling 12 %</t>
  </si>
  <si>
    <t>Winter Series 2023-2024</t>
  </si>
  <si>
    <t>Summer Series 2024</t>
  </si>
  <si>
    <t>Winter Series 2024-2025</t>
  </si>
  <si>
    <t>Summer Series 2025</t>
  </si>
  <si>
    <t>Winter Series 2025-2026</t>
  </si>
  <si>
    <t>Summer Series 2026</t>
  </si>
  <si>
    <t>Winter Series 2026-2027</t>
  </si>
  <si>
    <t>Summer Series 2027</t>
  </si>
  <si>
    <t>Round</t>
  </si>
  <si>
    <t>Rolling 12%</t>
  </si>
  <si>
    <t>Highest Score</t>
  </si>
  <si>
    <t>Highest Open</t>
  </si>
  <si>
    <t>JACK</t>
  </si>
  <si>
    <t>SQUIRES</t>
  </si>
  <si>
    <t>JAMIE</t>
  </si>
  <si>
    <t>FALCONER</t>
  </si>
  <si>
    <t>DORIAN</t>
  </si>
  <si>
    <t>JONES</t>
  </si>
  <si>
    <t>ANTHONY</t>
  </si>
  <si>
    <t>HEAD</t>
  </si>
  <si>
    <t>SWEFTA</t>
  </si>
  <si>
    <t>BASSETT</t>
  </si>
  <si>
    <t>EASTERBROOK</t>
  </si>
  <si>
    <t>WILLIAMS</t>
  </si>
  <si>
    <t>TYLA</t>
  </si>
  <si>
    <t>FRANKLIN</t>
  </si>
  <si>
    <t>STEVE</t>
  </si>
  <si>
    <t>DUCHEY</t>
  </si>
  <si>
    <t>VODDEN</t>
  </si>
  <si>
    <t>NEIL</t>
  </si>
  <si>
    <t>BEUAGIE</t>
  </si>
  <si>
    <t>ANDY</t>
  </si>
  <si>
    <t>BRESSINGTON</t>
  </si>
  <si>
    <t>JASON</t>
  </si>
  <si>
    <t>MARTIN</t>
  </si>
  <si>
    <t>WITHERS</t>
  </si>
  <si>
    <t>GORDON</t>
  </si>
  <si>
    <t>JACOB</t>
  </si>
  <si>
    <t>PETER</t>
  </si>
  <si>
    <t>SUMMERS</t>
  </si>
  <si>
    <t>RUSSELL</t>
  </si>
  <si>
    <t>JEFFERIS</t>
  </si>
  <si>
    <t>RALPH</t>
  </si>
  <si>
    <t>DODD</t>
  </si>
  <si>
    <t>STUART</t>
  </si>
  <si>
    <t>MFTA</t>
  </si>
  <si>
    <t>EXARCHOS</t>
  </si>
  <si>
    <t>SOTIRIS</t>
  </si>
  <si>
    <t>DAVIS</t>
  </si>
  <si>
    <t>POTHCARY</t>
  </si>
  <si>
    <t>HORROCKS</t>
  </si>
  <si>
    <t>DAN</t>
  </si>
  <si>
    <t>JARMAN</t>
  </si>
  <si>
    <t>ADRIAN</t>
  </si>
  <si>
    <t>LAMPETER</t>
  </si>
  <si>
    <t>HAYMAN</t>
  </si>
  <si>
    <t>NIGEL</t>
  </si>
  <si>
    <t>MARSH</t>
  </si>
  <si>
    <t>BRIAN</t>
  </si>
  <si>
    <t>VON DE STIEN</t>
  </si>
  <si>
    <t>HERBIE</t>
  </si>
  <si>
    <t>WILDING</t>
  </si>
  <si>
    <t>GEMMA</t>
  </si>
  <si>
    <t>CUNVIN</t>
  </si>
  <si>
    <t>DANIELA</t>
  </si>
  <si>
    <t>JULIAN</t>
  </si>
  <si>
    <t>JAY</t>
  </si>
  <si>
    <t>n/a</t>
  </si>
  <si>
    <t>ROWLES</t>
  </si>
  <si>
    <t>GARY</t>
  </si>
  <si>
    <t>GOULD</t>
  </si>
  <si>
    <t>TOM</t>
  </si>
  <si>
    <t>SPENCER</t>
  </si>
  <si>
    <t>UNDERWOOD</t>
  </si>
  <si>
    <t>CRAIG</t>
  </si>
  <si>
    <t>CROSSFIELD</t>
  </si>
  <si>
    <t>GAVIN</t>
  </si>
  <si>
    <t>JACKIE</t>
  </si>
  <si>
    <t>KYLE</t>
  </si>
  <si>
    <t>CLARK</t>
  </si>
  <si>
    <t>MORGAN</t>
  </si>
  <si>
    <t>McKINNON</t>
  </si>
  <si>
    <t>CHUBB</t>
  </si>
  <si>
    <t>RHUN</t>
  </si>
  <si>
    <t>BUTLER</t>
  </si>
  <si>
    <t>GILLIAN</t>
  </si>
  <si>
    <t>JAC</t>
  </si>
  <si>
    <t>O'CALLAGHAN</t>
  </si>
  <si>
    <t>SION</t>
  </si>
  <si>
    <t>TANNER</t>
  </si>
  <si>
    <t>SCOTT</t>
  </si>
  <si>
    <t>CLIVE</t>
  </si>
  <si>
    <t>KOCIOMBAS</t>
  </si>
  <si>
    <t>OWEN</t>
  </si>
  <si>
    <t>MIKE</t>
  </si>
  <si>
    <t>WAFTA Grading - Summer Season 2026</t>
  </si>
  <si>
    <t>Percentage</t>
  </si>
  <si>
    <t>&gt;87%</t>
  </si>
  <si>
    <t>78% - 86.99%</t>
  </si>
  <si>
    <t>68% - 77.99%</t>
  </si>
  <si>
    <t>&lt;67.99%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</si>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</sst>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10"/>
      <name val="Arial"/>
    </font>
    <font>
      <b/>
      <sz val="14"/>
      <color theme="1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9"/>
      <color theme="1"/>
      <name val="Arial"/>
      <scheme val="minor"/>
    </font>
    <font>
      <sz val="10"/>
      <color theme="1"/>
      <name val="Arial"/>
    </font>
    <font>
      <b/>
      <sz val="15"/>
      <color theme="1"/>
      <name val="Arial"/>
    </font>
    <font>
      <b/>
      <sz val="11"/>
      <color theme="1"/>
      <name val="Arial"/>
    </font>
  </fonts>
  <fills count="11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  <fill>
      <patternFill patternType="solid">
        <fgColor rgb="FF9FC5E8"/>
        <bgColor rgb="FF9FC5E8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0" fontId="1" fillId="6" borderId="1" xfId="0" applyNumberFormat="1" applyFont="1" applyFill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0" fontId="1" fillId="7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0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0" fontId="5" fillId="6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center"/>
    </xf>
    <xf numFmtId="10" fontId="5" fillId="7" borderId="1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8" fillId="0" borderId="0" xfId="0" applyFont="1"/>
    <xf numFmtId="0" fontId="10" fillId="3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10" fontId="8" fillId="6" borderId="1" xfId="0" applyNumberFormat="1" applyFont="1" applyFill="1" applyBorder="1" applyAlignment="1">
      <alignment horizontal="left"/>
    </xf>
    <xf numFmtId="0" fontId="8" fillId="6" borderId="1" xfId="0" applyFont="1" applyFill="1" applyBorder="1" applyAlignment="1">
      <alignment horizontal="left"/>
    </xf>
    <xf numFmtId="0" fontId="8" fillId="7" borderId="11" xfId="0" applyFont="1" applyFill="1" applyBorder="1" applyAlignment="1">
      <alignment horizontal="left"/>
    </xf>
    <xf numFmtId="0" fontId="8" fillId="7" borderId="0" xfId="0" applyFont="1" applyFill="1" applyAlignment="1">
      <alignment horizontal="left"/>
    </xf>
    <xf numFmtId="0" fontId="8" fillId="7" borderId="12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10" fontId="8" fillId="0" borderId="1" xfId="0" applyNumberFormat="1" applyFont="1" applyBorder="1" applyAlignment="1">
      <alignment horizontal="left"/>
    </xf>
    <xf numFmtId="0" fontId="8" fillId="10" borderId="0" xfId="0" applyFont="1" applyFill="1"/>
    <xf numFmtId="10" fontId="8" fillId="10" borderId="1" xfId="0" applyNumberFormat="1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3" fillId="0" borderId="3" xfId="0" applyFont="1" applyBorder="1"/>
    <xf numFmtId="0" fontId="2" fillId="2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2" fillId="8" borderId="2" xfId="0" applyFont="1" applyFill="1" applyBorder="1" applyAlignment="1">
      <alignment horizontal="center"/>
    </xf>
    <xf numFmtId="0" fontId="3" fillId="0" borderId="8" xfId="0" applyFont="1" applyBorder="1"/>
    <xf numFmtId="0" fontId="2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17"/>
  <sheetViews>
    <sheetView workbookViewId="0">
      <pane ySplit="5" topLeftCell="A6" activePane="bottomLeft" state="frozen"/>
      <selection pane="bottomLeft" activeCell="N9" sqref="N9"/>
    </sheetView>
  </sheetViews>
  <sheetFormatPr defaultColWidth="12.5703125" defaultRowHeight="15.75" customHeight="1" x14ac:dyDescent="0.2"/>
  <cols>
    <col min="1" max="1" width="3.140625" customWidth="1"/>
    <col min="2" max="2" width="19" customWidth="1"/>
    <col min="3" max="3" width="16.42578125" customWidth="1"/>
    <col min="4" max="4" width="10.42578125" customWidth="1"/>
    <col min="5" max="5" width="14" customWidth="1"/>
    <col min="6" max="6" width="12.140625" customWidth="1"/>
    <col min="7" max="11" width="10.42578125" customWidth="1"/>
    <col min="12" max="12" width="14.85546875" customWidth="1"/>
    <col min="13" max="24" width="7" customWidth="1"/>
  </cols>
  <sheetData>
    <row r="1" spans="1:27" ht="6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2.75" x14ac:dyDescent="0.2">
      <c r="A2" s="1"/>
      <c r="D2" s="1"/>
      <c r="E2" s="1"/>
      <c r="F2" s="1"/>
      <c r="G2" s="1"/>
      <c r="H2" s="1"/>
      <c r="I2" s="1"/>
      <c r="J2" s="1"/>
      <c r="K2" s="1"/>
      <c r="L2" s="2" t="s">
        <v>0</v>
      </c>
      <c r="M2" s="55" t="s">
        <v>1</v>
      </c>
      <c r="N2" s="54"/>
      <c r="O2" s="55" t="s">
        <v>2</v>
      </c>
      <c r="P2" s="54"/>
      <c r="Q2" s="55" t="s">
        <v>3</v>
      </c>
      <c r="R2" s="54"/>
      <c r="S2" s="55" t="s">
        <v>4</v>
      </c>
      <c r="T2" s="54"/>
      <c r="U2" s="55" t="s">
        <v>5</v>
      </c>
      <c r="V2" s="54"/>
      <c r="W2" s="55" t="s">
        <v>6</v>
      </c>
      <c r="X2" s="54"/>
      <c r="Y2" s="1"/>
      <c r="Z2" s="1"/>
      <c r="AA2" s="1"/>
    </row>
    <row r="3" spans="1:27" ht="12.75" x14ac:dyDescent="0.2">
      <c r="A3" s="1"/>
      <c r="B3" s="56" t="s">
        <v>7</v>
      </c>
      <c r="C3" s="57"/>
      <c r="D3" s="1"/>
      <c r="E3" s="1"/>
      <c r="F3" s="1"/>
      <c r="G3" s="1"/>
      <c r="H3" s="1"/>
      <c r="I3" s="1"/>
      <c r="J3" s="1"/>
      <c r="K3" s="1"/>
      <c r="L3" s="3" t="s">
        <v>8</v>
      </c>
      <c r="M3" s="53">
        <v>36</v>
      </c>
      <c r="N3" s="54"/>
      <c r="O3" s="53"/>
      <c r="P3" s="54"/>
      <c r="Q3" s="53"/>
      <c r="R3" s="54"/>
      <c r="S3" s="53"/>
      <c r="T3" s="54"/>
      <c r="U3" s="53"/>
      <c r="V3" s="54"/>
      <c r="W3" s="53"/>
      <c r="X3" s="54"/>
      <c r="Y3" s="1"/>
      <c r="Z3" s="1"/>
      <c r="AA3" s="1"/>
    </row>
    <row r="4" spans="1:27" ht="12.75" x14ac:dyDescent="0.2">
      <c r="A4" s="1"/>
      <c r="B4" s="58"/>
      <c r="C4" s="59"/>
      <c r="D4" s="1"/>
      <c r="E4" s="1"/>
      <c r="F4" s="1"/>
      <c r="G4" s="1"/>
      <c r="H4" s="1"/>
      <c r="I4" s="1"/>
      <c r="J4" s="1"/>
      <c r="K4" s="1"/>
      <c r="L4" s="3" t="s">
        <v>9</v>
      </c>
      <c r="M4" s="53">
        <v>38</v>
      </c>
      <c r="N4" s="54"/>
      <c r="O4" s="53"/>
      <c r="P4" s="54"/>
      <c r="Q4" s="53"/>
      <c r="R4" s="54"/>
      <c r="S4" s="53"/>
      <c r="T4" s="54"/>
      <c r="U4" s="53"/>
      <c r="V4" s="54"/>
      <c r="W4" s="53"/>
      <c r="X4" s="54"/>
      <c r="Y4" s="1"/>
      <c r="Z4" s="1"/>
      <c r="AA4" s="1"/>
    </row>
    <row r="5" spans="1:27" ht="38.25" x14ac:dyDescent="0.2">
      <c r="A5" s="4"/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6" t="s">
        <v>15</v>
      </c>
      <c r="H5" s="5" t="s">
        <v>16</v>
      </c>
      <c r="I5" s="6" t="s">
        <v>17</v>
      </c>
      <c r="J5" s="5" t="s">
        <v>18</v>
      </c>
      <c r="K5" s="6" t="s">
        <v>19</v>
      </c>
      <c r="L5" s="6" t="s">
        <v>20</v>
      </c>
      <c r="M5" s="5" t="s">
        <v>21</v>
      </c>
      <c r="N5" s="5" t="s">
        <v>22</v>
      </c>
      <c r="O5" s="5" t="s">
        <v>21</v>
      </c>
      <c r="P5" s="5" t="s">
        <v>22</v>
      </c>
      <c r="Q5" s="5" t="s">
        <v>21</v>
      </c>
      <c r="R5" s="5" t="s">
        <v>22</v>
      </c>
      <c r="S5" s="5" t="s">
        <v>21</v>
      </c>
      <c r="T5" s="5" t="s">
        <v>22</v>
      </c>
      <c r="U5" s="5" t="s">
        <v>21</v>
      </c>
      <c r="V5" s="5" t="s">
        <v>22</v>
      </c>
      <c r="W5" s="5" t="s">
        <v>21</v>
      </c>
      <c r="X5" s="5" t="s">
        <v>22</v>
      </c>
      <c r="Y5" s="4"/>
      <c r="Z5" s="4"/>
      <c r="AA5" s="4"/>
    </row>
    <row r="6" spans="1:27" ht="12.75" x14ac:dyDescent="0.2">
      <c r="A6" s="1"/>
      <c r="B6" s="7" t="s">
        <v>23</v>
      </c>
      <c r="C6" s="7" t="s">
        <v>24</v>
      </c>
      <c r="D6" s="7">
        <v>50134</v>
      </c>
      <c r="E6" s="8" t="s">
        <v>25</v>
      </c>
      <c r="F6" s="7" t="s">
        <v>26</v>
      </c>
      <c r="G6" s="9"/>
      <c r="H6" s="10">
        <f>ROUND(SUM(N6,P6,R6,T6,V6,X6)*100,2)</f>
        <v>97.22</v>
      </c>
      <c r="I6" s="10">
        <v>97.22</v>
      </c>
      <c r="J6" s="10">
        <f>RANK(H6,$H$6,0)</f>
        <v>1</v>
      </c>
      <c r="K6" s="10">
        <f>COUNT(M6,O6,Q6,S6,U6,W6)</f>
        <v>1</v>
      </c>
      <c r="L6" s="11">
        <f>AVERAGE(N6,P6,R6,T6,V6,X6)</f>
        <v>0.97222222222222221</v>
      </c>
      <c r="M6" s="10">
        <v>35</v>
      </c>
      <c r="N6" s="12">
        <f>IF(M6="","",M6/$M$3)</f>
        <v>0.97222222222222221</v>
      </c>
      <c r="O6" s="10"/>
      <c r="P6" s="12" t="str">
        <f>IF(O6="","",O6/$O$3)</f>
        <v/>
      </c>
      <c r="Q6" s="10"/>
      <c r="R6" s="12" t="str">
        <f>IF(Q6="","",Q6/$Q$3)</f>
        <v/>
      </c>
      <c r="S6" s="10"/>
      <c r="T6" s="12" t="str">
        <f>IF(S6="","",S6/$S$3)</f>
        <v/>
      </c>
      <c r="U6" s="10"/>
      <c r="V6" s="12" t="str">
        <f>IF(U6="","",U6/$U$3)</f>
        <v/>
      </c>
      <c r="W6" s="10"/>
      <c r="X6" s="12" t="str">
        <f>IF(W6="","",W6/$W$3)</f>
        <v/>
      </c>
      <c r="Y6" s="1"/>
      <c r="Z6" s="1"/>
      <c r="AA6" s="1"/>
    </row>
    <row r="7" spans="1:27" ht="12.75" x14ac:dyDescent="0.2">
      <c r="A7" s="1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  <c r="O7" s="13"/>
      <c r="P7" s="13"/>
      <c r="Q7" s="13"/>
      <c r="R7" s="13"/>
      <c r="S7" s="13"/>
      <c r="T7" s="13"/>
      <c r="U7" s="13"/>
      <c r="V7" s="13"/>
      <c r="W7" s="13"/>
      <c r="X7" s="13"/>
      <c r="Y7" s="1"/>
      <c r="Z7" s="1"/>
      <c r="AA7" s="1"/>
    </row>
    <row r="8" spans="1:27" ht="12.75" x14ac:dyDescent="0.2">
      <c r="A8" s="1"/>
      <c r="B8" s="7" t="s">
        <v>27</v>
      </c>
      <c r="C8" s="7" t="s">
        <v>28</v>
      </c>
      <c r="D8" s="7">
        <v>51188</v>
      </c>
      <c r="E8" s="8" t="s">
        <v>29</v>
      </c>
      <c r="F8" s="7" t="s">
        <v>26</v>
      </c>
      <c r="G8" s="9"/>
      <c r="H8" s="10">
        <f t="shared" ref="H8:H13" si="0">ROUND(SUM(N8,P8,R8,T8,V8,X8)*100,2)</f>
        <v>100</v>
      </c>
      <c r="I8" s="10">
        <v>100</v>
      </c>
      <c r="J8" s="10">
        <f t="shared" ref="J8:J13" si="1">RANK(H8,$H$8:$H$13,0)</f>
        <v>1</v>
      </c>
      <c r="K8" s="10">
        <f t="shared" ref="K8:K13" si="2">COUNT(M8,O8,Q8,S8,U8,W8)</f>
        <v>1</v>
      </c>
      <c r="L8" s="11">
        <f t="shared" ref="L8:L13" si="3">AVERAGE(N8,P8,R8,T8,V8,X8)</f>
        <v>1</v>
      </c>
      <c r="M8" s="10">
        <v>36</v>
      </c>
      <c r="N8" s="12">
        <f t="shared" ref="N8:N13" si="4">IF(M8="","",M8/$M$3)</f>
        <v>1</v>
      </c>
      <c r="O8" s="10"/>
      <c r="P8" s="12" t="str">
        <f t="shared" ref="P8:P13" si="5">IF(O8="","",O8/$O$3)</f>
        <v/>
      </c>
      <c r="Q8" s="10"/>
      <c r="R8" s="12" t="str">
        <f t="shared" ref="R8:R13" si="6">IF(Q8="","",Q8/$Q$3)</f>
        <v/>
      </c>
      <c r="S8" s="10"/>
      <c r="T8" s="12" t="str">
        <f t="shared" ref="T8:T13" si="7">IF(S8="","",S8/$S$3)</f>
        <v/>
      </c>
      <c r="U8" s="10"/>
      <c r="V8" s="12" t="str">
        <f t="shared" ref="V8:V13" si="8">IF(U8="","",U8/$U$3)</f>
        <v/>
      </c>
      <c r="W8" s="10"/>
      <c r="X8" s="12" t="str">
        <f t="shared" ref="X8:X13" si="9">IF(W8="","",W8/$W$3)</f>
        <v/>
      </c>
      <c r="Y8" s="1"/>
      <c r="Z8" s="1"/>
      <c r="AA8" s="1"/>
    </row>
    <row r="9" spans="1:27" ht="12.75" x14ac:dyDescent="0.2">
      <c r="A9" s="1"/>
      <c r="B9" s="7" t="s">
        <v>30</v>
      </c>
      <c r="C9" s="7" t="s">
        <v>31</v>
      </c>
      <c r="D9" s="7">
        <v>51170</v>
      </c>
      <c r="E9" s="8" t="s">
        <v>29</v>
      </c>
      <c r="F9" s="7" t="s">
        <v>32</v>
      </c>
      <c r="G9" s="10"/>
      <c r="H9" s="10">
        <f t="shared" si="0"/>
        <v>97.22</v>
      </c>
      <c r="I9" s="10">
        <v>97.22</v>
      </c>
      <c r="J9" s="10">
        <f t="shared" si="1"/>
        <v>2</v>
      </c>
      <c r="K9" s="10">
        <f t="shared" si="2"/>
        <v>1</v>
      </c>
      <c r="L9" s="11">
        <f t="shared" si="3"/>
        <v>0.97222222222222221</v>
      </c>
      <c r="M9" s="10">
        <v>35</v>
      </c>
      <c r="N9" s="12">
        <f t="shared" si="4"/>
        <v>0.97222222222222221</v>
      </c>
      <c r="O9" s="10"/>
      <c r="P9" s="12" t="str">
        <f t="shared" si="5"/>
        <v/>
      </c>
      <c r="Q9" s="10"/>
      <c r="R9" s="12" t="str">
        <f t="shared" si="6"/>
        <v/>
      </c>
      <c r="S9" s="10"/>
      <c r="T9" s="12" t="str">
        <f t="shared" si="7"/>
        <v/>
      </c>
      <c r="U9" s="10"/>
      <c r="V9" s="12" t="str">
        <f t="shared" si="8"/>
        <v/>
      </c>
      <c r="W9" s="10"/>
      <c r="X9" s="12" t="str">
        <f t="shared" si="9"/>
        <v/>
      </c>
      <c r="Y9" s="1"/>
      <c r="Z9" s="1"/>
      <c r="AA9" s="1"/>
    </row>
    <row r="10" spans="1:27" ht="12.75" x14ac:dyDescent="0.2">
      <c r="A10" s="1"/>
      <c r="B10" s="7" t="s">
        <v>33</v>
      </c>
      <c r="C10" s="7" t="s">
        <v>34</v>
      </c>
      <c r="D10" s="7">
        <v>50863</v>
      </c>
      <c r="E10" s="8" t="s">
        <v>29</v>
      </c>
      <c r="F10" s="7" t="s">
        <v>32</v>
      </c>
      <c r="G10" s="10"/>
      <c r="H10" s="10">
        <f t="shared" si="0"/>
        <v>91.67</v>
      </c>
      <c r="I10" s="10">
        <v>91.67</v>
      </c>
      <c r="J10" s="10">
        <f t="shared" si="1"/>
        <v>3</v>
      </c>
      <c r="K10" s="10">
        <f t="shared" si="2"/>
        <v>1</v>
      </c>
      <c r="L10" s="11">
        <f t="shared" si="3"/>
        <v>0.91666666666666663</v>
      </c>
      <c r="M10" s="10">
        <v>33</v>
      </c>
      <c r="N10" s="12">
        <f t="shared" si="4"/>
        <v>0.91666666666666663</v>
      </c>
      <c r="O10" s="10"/>
      <c r="P10" s="12" t="str">
        <f t="shared" si="5"/>
        <v/>
      </c>
      <c r="Q10" s="10"/>
      <c r="R10" s="12" t="str">
        <f t="shared" si="6"/>
        <v/>
      </c>
      <c r="S10" s="10"/>
      <c r="T10" s="12" t="str">
        <f t="shared" si="7"/>
        <v/>
      </c>
      <c r="U10" s="10"/>
      <c r="V10" s="12" t="str">
        <f t="shared" si="8"/>
        <v/>
      </c>
      <c r="W10" s="10"/>
      <c r="X10" s="12" t="str">
        <f t="shared" si="9"/>
        <v/>
      </c>
      <c r="Y10" s="1"/>
      <c r="Z10" s="1"/>
      <c r="AA10" s="1"/>
    </row>
    <row r="11" spans="1:27" ht="12.75" x14ac:dyDescent="0.2">
      <c r="A11" s="1"/>
      <c r="B11" s="7" t="s">
        <v>35</v>
      </c>
      <c r="C11" s="7" t="s">
        <v>31</v>
      </c>
      <c r="D11" s="7">
        <v>50860</v>
      </c>
      <c r="E11" s="8" t="s">
        <v>29</v>
      </c>
      <c r="F11" s="7" t="s">
        <v>36</v>
      </c>
      <c r="G11" s="10"/>
      <c r="H11" s="10">
        <f t="shared" si="0"/>
        <v>91.67</v>
      </c>
      <c r="I11" s="10">
        <v>91.67</v>
      </c>
      <c r="J11" s="10">
        <f t="shared" si="1"/>
        <v>3</v>
      </c>
      <c r="K11" s="10">
        <f t="shared" si="2"/>
        <v>1</v>
      </c>
      <c r="L11" s="11">
        <f t="shared" si="3"/>
        <v>0.91666666666666663</v>
      </c>
      <c r="M11" s="10">
        <v>33</v>
      </c>
      <c r="N11" s="12">
        <f t="shared" si="4"/>
        <v>0.91666666666666663</v>
      </c>
      <c r="O11" s="10"/>
      <c r="P11" s="12" t="str">
        <f t="shared" si="5"/>
        <v/>
      </c>
      <c r="Q11" s="10"/>
      <c r="R11" s="12" t="str">
        <f t="shared" si="6"/>
        <v/>
      </c>
      <c r="S11" s="10"/>
      <c r="T11" s="12" t="str">
        <f t="shared" si="7"/>
        <v/>
      </c>
      <c r="U11" s="10"/>
      <c r="V11" s="12" t="str">
        <f t="shared" si="8"/>
        <v/>
      </c>
      <c r="W11" s="10"/>
      <c r="X11" s="12" t="str">
        <f t="shared" si="9"/>
        <v/>
      </c>
      <c r="Y11" s="1"/>
      <c r="Z11" s="1"/>
      <c r="AA11" s="1"/>
    </row>
    <row r="12" spans="1:27" ht="12.75" x14ac:dyDescent="0.2">
      <c r="A12" s="1"/>
      <c r="B12" s="7" t="s">
        <v>37</v>
      </c>
      <c r="C12" s="7" t="s">
        <v>38</v>
      </c>
      <c r="D12" s="7">
        <v>50911</v>
      </c>
      <c r="E12" s="8" t="s">
        <v>29</v>
      </c>
      <c r="F12" s="7" t="s">
        <v>36</v>
      </c>
      <c r="G12" s="10"/>
      <c r="H12" s="10">
        <f t="shared" si="0"/>
        <v>91.67</v>
      </c>
      <c r="I12" s="10">
        <v>91.67</v>
      </c>
      <c r="J12" s="10">
        <f t="shared" si="1"/>
        <v>3</v>
      </c>
      <c r="K12" s="10">
        <f t="shared" si="2"/>
        <v>1</v>
      </c>
      <c r="L12" s="11">
        <f t="shared" si="3"/>
        <v>0.91666666666666663</v>
      </c>
      <c r="M12" s="10">
        <v>33</v>
      </c>
      <c r="N12" s="12">
        <f t="shared" si="4"/>
        <v>0.91666666666666663</v>
      </c>
      <c r="O12" s="10"/>
      <c r="P12" s="12" t="str">
        <f t="shared" si="5"/>
        <v/>
      </c>
      <c r="Q12" s="10"/>
      <c r="R12" s="12" t="str">
        <f t="shared" si="6"/>
        <v/>
      </c>
      <c r="S12" s="10"/>
      <c r="T12" s="12" t="str">
        <f t="shared" si="7"/>
        <v/>
      </c>
      <c r="U12" s="10"/>
      <c r="V12" s="12" t="str">
        <f t="shared" si="8"/>
        <v/>
      </c>
      <c r="W12" s="10"/>
      <c r="X12" s="12" t="str">
        <f t="shared" si="9"/>
        <v/>
      </c>
      <c r="Y12" s="1"/>
      <c r="Z12" s="1"/>
      <c r="AA12" s="1"/>
    </row>
    <row r="13" spans="1:27" ht="12.75" x14ac:dyDescent="0.2">
      <c r="A13" s="1"/>
      <c r="B13" s="7" t="s">
        <v>39</v>
      </c>
      <c r="C13" s="7" t="s">
        <v>40</v>
      </c>
      <c r="D13" s="7">
        <v>50054</v>
      </c>
      <c r="E13" s="8" t="s">
        <v>29</v>
      </c>
      <c r="F13" s="7" t="s">
        <v>41</v>
      </c>
      <c r="G13" s="10"/>
      <c r="H13" s="10">
        <f t="shared" si="0"/>
        <v>80.56</v>
      </c>
      <c r="I13" s="10">
        <v>80.56</v>
      </c>
      <c r="J13" s="10">
        <f t="shared" si="1"/>
        <v>6</v>
      </c>
      <c r="K13" s="10">
        <f t="shared" si="2"/>
        <v>1</v>
      </c>
      <c r="L13" s="11">
        <f t="shared" si="3"/>
        <v>0.80555555555555558</v>
      </c>
      <c r="M13" s="10">
        <v>29</v>
      </c>
      <c r="N13" s="12">
        <f t="shared" si="4"/>
        <v>0.80555555555555558</v>
      </c>
      <c r="O13" s="10"/>
      <c r="P13" s="12" t="str">
        <f t="shared" si="5"/>
        <v/>
      </c>
      <c r="Q13" s="10"/>
      <c r="R13" s="12" t="str">
        <f t="shared" si="6"/>
        <v/>
      </c>
      <c r="S13" s="10"/>
      <c r="T13" s="12" t="str">
        <f t="shared" si="7"/>
        <v/>
      </c>
      <c r="U13" s="10"/>
      <c r="V13" s="12" t="str">
        <f t="shared" si="8"/>
        <v/>
      </c>
      <c r="W13" s="10"/>
      <c r="X13" s="12" t="str">
        <f t="shared" si="9"/>
        <v/>
      </c>
      <c r="Y13" s="1"/>
      <c r="Z13" s="1"/>
      <c r="AA13" s="1"/>
    </row>
    <row r="14" spans="1:27" ht="12.75" x14ac:dyDescent="0.2">
      <c r="A14" s="1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4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"/>
      <c r="Z14" s="1"/>
      <c r="AA14" s="1"/>
    </row>
    <row r="15" spans="1:27" ht="12.75" x14ac:dyDescent="0.2">
      <c r="A15" s="1"/>
      <c r="B15" s="7" t="s">
        <v>42</v>
      </c>
      <c r="C15" s="7" t="s">
        <v>43</v>
      </c>
      <c r="D15" s="7">
        <v>51070</v>
      </c>
      <c r="E15" s="8" t="s">
        <v>44</v>
      </c>
      <c r="F15" s="7" t="s">
        <v>26</v>
      </c>
      <c r="G15" s="9"/>
      <c r="H15" s="10">
        <f t="shared" ref="H15:H19" si="10">ROUND(SUM(N15,P15,R15,T15,V15,X15)*100,2)</f>
        <v>86.11</v>
      </c>
      <c r="I15" s="10">
        <v>86.11</v>
      </c>
      <c r="J15" s="10">
        <f t="shared" ref="J15:J18" si="11">RANK(H15,$H$15:$H$18,0)</f>
        <v>1</v>
      </c>
      <c r="K15" s="10">
        <f t="shared" ref="K15:K19" si="12">COUNT(M15,O15,Q15,S15,U15,W15)</f>
        <v>1</v>
      </c>
      <c r="L15" s="11">
        <f t="shared" ref="L15:L19" si="13">AVERAGE(N15,P15,R15,T15,V15,X15)</f>
        <v>0.86111111111111116</v>
      </c>
      <c r="M15" s="10">
        <v>31</v>
      </c>
      <c r="N15" s="12">
        <f t="shared" ref="N15:N19" si="14">IF(M15="","",M15/$M$3)</f>
        <v>0.86111111111111116</v>
      </c>
      <c r="O15" s="10"/>
      <c r="P15" s="12" t="str">
        <f t="shared" ref="P15:P19" si="15">IF(O15="","",O15/$O$3)</f>
        <v/>
      </c>
      <c r="Q15" s="10"/>
      <c r="R15" s="12" t="str">
        <f t="shared" ref="R15:R19" si="16">IF(Q15="","",Q15/$Q$3)</f>
        <v/>
      </c>
      <c r="S15" s="10"/>
      <c r="T15" s="12" t="str">
        <f t="shared" ref="T15:T19" si="17">IF(S15="","",S15/$S$3)</f>
        <v/>
      </c>
      <c r="U15" s="10"/>
      <c r="V15" s="12" t="str">
        <f t="shared" ref="V15:V19" si="18">IF(U15="","",U15/$U$3)</f>
        <v/>
      </c>
      <c r="W15" s="10"/>
      <c r="X15" s="12" t="str">
        <f t="shared" ref="X15:X19" si="19">IF(W15="","",W15/$W$3)</f>
        <v/>
      </c>
      <c r="Y15" s="1"/>
      <c r="Z15" s="1"/>
      <c r="AA15" s="1"/>
    </row>
    <row r="16" spans="1:27" ht="12.75" x14ac:dyDescent="0.2">
      <c r="A16" s="1"/>
      <c r="B16" s="7" t="s">
        <v>45</v>
      </c>
      <c r="C16" s="7" t="s">
        <v>34</v>
      </c>
      <c r="D16" s="7">
        <v>50529</v>
      </c>
      <c r="E16" s="8" t="s">
        <v>44</v>
      </c>
      <c r="F16" s="7" t="s">
        <v>26</v>
      </c>
      <c r="G16" s="10"/>
      <c r="H16" s="10">
        <f t="shared" si="10"/>
        <v>80.56</v>
      </c>
      <c r="I16" s="10">
        <v>80.56</v>
      </c>
      <c r="J16" s="10">
        <f t="shared" si="11"/>
        <v>2</v>
      </c>
      <c r="K16" s="10">
        <f t="shared" si="12"/>
        <v>1</v>
      </c>
      <c r="L16" s="11">
        <f t="shared" si="13"/>
        <v>0.80555555555555558</v>
      </c>
      <c r="M16" s="10">
        <v>29</v>
      </c>
      <c r="N16" s="12">
        <f t="shared" si="14"/>
        <v>0.80555555555555558</v>
      </c>
      <c r="O16" s="10"/>
      <c r="P16" s="12" t="str">
        <f t="shared" si="15"/>
        <v/>
      </c>
      <c r="Q16" s="10"/>
      <c r="R16" s="12" t="str">
        <f t="shared" si="16"/>
        <v/>
      </c>
      <c r="S16" s="10"/>
      <c r="T16" s="12" t="str">
        <f t="shared" si="17"/>
        <v/>
      </c>
      <c r="U16" s="10"/>
      <c r="V16" s="12" t="str">
        <f t="shared" si="18"/>
        <v/>
      </c>
      <c r="W16" s="10"/>
      <c r="X16" s="12" t="str">
        <f t="shared" si="19"/>
        <v/>
      </c>
      <c r="Y16" s="1"/>
      <c r="Z16" s="1"/>
      <c r="AA16" s="1"/>
    </row>
    <row r="17" spans="1:27" ht="12.75" x14ac:dyDescent="0.2">
      <c r="A17" s="1"/>
      <c r="B17" s="7" t="s">
        <v>46</v>
      </c>
      <c r="C17" s="7" t="s">
        <v>47</v>
      </c>
      <c r="D17" s="7">
        <v>50110</v>
      </c>
      <c r="E17" s="8" t="s">
        <v>44</v>
      </c>
      <c r="F17" s="7" t="s">
        <v>32</v>
      </c>
      <c r="G17" s="10"/>
      <c r="H17" s="10">
        <f t="shared" si="10"/>
        <v>75</v>
      </c>
      <c r="I17" s="10">
        <v>75</v>
      </c>
      <c r="J17" s="10">
        <f t="shared" si="11"/>
        <v>3</v>
      </c>
      <c r="K17" s="10">
        <f t="shared" si="12"/>
        <v>1</v>
      </c>
      <c r="L17" s="11">
        <f t="shared" si="13"/>
        <v>0.75</v>
      </c>
      <c r="M17" s="10">
        <v>27</v>
      </c>
      <c r="N17" s="12">
        <f t="shared" si="14"/>
        <v>0.75</v>
      </c>
      <c r="O17" s="10"/>
      <c r="P17" s="12" t="str">
        <f t="shared" si="15"/>
        <v/>
      </c>
      <c r="Q17" s="10"/>
      <c r="R17" s="12" t="str">
        <f t="shared" si="16"/>
        <v/>
      </c>
      <c r="S17" s="10"/>
      <c r="T17" s="12" t="str">
        <f t="shared" si="17"/>
        <v/>
      </c>
      <c r="U17" s="10"/>
      <c r="V17" s="12" t="str">
        <f t="shared" si="18"/>
        <v/>
      </c>
      <c r="W17" s="10"/>
      <c r="X17" s="12" t="str">
        <f t="shared" si="19"/>
        <v/>
      </c>
      <c r="Y17" s="1"/>
      <c r="Z17" s="1"/>
      <c r="AA17" s="1"/>
    </row>
    <row r="18" spans="1:27" ht="12.75" x14ac:dyDescent="0.2">
      <c r="A18" s="1"/>
      <c r="B18" s="7" t="s">
        <v>48</v>
      </c>
      <c r="C18" s="7" t="s">
        <v>49</v>
      </c>
      <c r="D18" s="7">
        <v>51219</v>
      </c>
      <c r="E18" s="8" t="s">
        <v>44</v>
      </c>
      <c r="F18" s="7" t="s">
        <v>26</v>
      </c>
      <c r="G18" s="10"/>
      <c r="H18" s="10">
        <f t="shared" si="10"/>
        <v>72.22</v>
      </c>
      <c r="I18" s="10">
        <v>72.22</v>
      </c>
      <c r="J18" s="10">
        <f t="shared" si="11"/>
        <v>4</v>
      </c>
      <c r="K18" s="10">
        <f t="shared" si="12"/>
        <v>1</v>
      </c>
      <c r="L18" s="11">
        <f t="shared" si="13"/>
        <v>0.72222222222222221</v>
      </c>
      <c r="M18" s="10">
        <v>26</v>
      </c>
      <c r="N18" s="12">
        <f t="shared" si="14"/>
        <v>0.72222222222222221</v>
      </c>
      <c r="O18" s="10"/>
      <c r="P18" s="12" t="str">
        <f t="shared" si="15"/>
        <v/>
      </c>
      <c r="Q18" s="10"/>
      <c r="R18" s="12" t="str">
        <f t="shared" si="16"/>
        <v/>
      </c>
      <c r="S18" s="10"/>
      <c r="T18" s="12" t="str">
        <f t="shared" si="17"/>
        <v/>
      </c>
      <c r="U18" s="10"/>
      <c r="V18" s="12" t="str">
        <f t="shared" si="18"/>
        <v/>
      </c>
      <c r="W18" s="10"/>
      <c r="X18" s="12" t="str">
        <f t="shared" si="19"/>
        <v/>
      </c>
      <c r="Y18" s="1"/>
      <c r="Z18" s="1"/>
      <c r="AA18" s="1"/>
    </row>
    <row r="19" spans="1:27" ht="12.75" x14ac:dyDescent="0.2">
      <c r="A19" s="1"/>
      <c r="B19" s="7" t="s">
        <v>50</v>
      </c>
      <c r="C19" s="7" t="s">
        <v>51</v>
      </c>
      <c r="D19" s="7">
        <v>51054</v>
      </c>
      <c r="E19" s="8" t="s">
        <v>44</v>
      </c>
      <c r="F19" s="7" t="s">
        <v>26</v>
      </c>
      <c r="G19" s="10"/>
      <c r="H19" s="10">
        <f t="shared" si="10"/>
        <v>58.33</v>
      </c>
      <c r="I19" s="10">
        <v>58.33</v>
      </c>
      <c r="J19" s="10">
        <f>RANK(H19,$H$15:$H$19,0)</f>
        <v>5</v>
      </c>
      <c r="K19" s="10">
        <f t="shared" si="12"/>
        <v>1</v>
      </c>
      <c r="L19" s="11">
        <f t="shared" si="13"/>
        <v>0.58333333333333337</v>
      </c>
      <c r="M19" s="10">
        <v>21</v>
      </c>
      <c r="N19" s="12">
        <f t="shared" si="14"/>
        <v>0.58333333333333337</v>
      </c>
      <c r="O19" s="10"/>
      <c r="P19" s="12" t="str">
        <f t="shared" si="15"/>
        <v/>
      </c>
      <c r="Q19" s="10"/>
      <c r="R19" s="12" t="str">
        <f t="shared" si="16"/>
        <v/>
      </c>
      <c r="S19" s="10"/>
      <c r="T19" s="12" t="str">
        <f t="shared" si="17"/>
        <v/>
      </c>
      <c r="U19" s="10"/>
      <c r="V19" s="12" t="str">
        <f t="shared" si="18"/>
        <v/>
      </c>
      <c r="W19" s="10"/>
      <c r="X19" s="12" t="str">
        <f t="shared" si="19"/>
        <v/>
      </c>
      <c r="Y19" s="1"/>
      <c r="Z19" s="1"/>
      <c r="AA19" s="1"/>
    </row>
    <row r="20" spans="1:27" ht="12.75" x14ac:dyDescent="0.2">
      <c r="A20" s="1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4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"/>
      <c r="Z20" s="1"/>
      <c r="AA20" s="1"/>
    </row>
    <row r="21" spans="1:27" ht="12.75" x14ac:dyDescent="0.2">
      <c r="A21" s="1"/>
      <c r="B21" s="7" t="s">
        <v>52</v>
      </c>
      <c r="C21" s="7" t="s">
        <v>47</v>
      </c>
      <c r="D21" s="7" t="s">
        <v>53</v>
      </c>
      <c r="E21" s="8" t="s">
        <v>54</v>
      </c>
      <c r="F21" s="7" t="s">
        <v>53</v>
      </c>
      <c r="G21" s="9"/>
      <c r="H21" s="10">
        <f t="shared" ref="H21:H25" si="20">ROUND(SUM(N21,P21,R21,T21,V21,X21)*100,2)</f>
        <v>97.22</v>
      </c>
      <c r="I21" s="10">
        <v>97.22</v>
      </c>
      <c r="J21" s="10">
        <f t="shared" ref="J21:J25" si="21">RANK(H21,$H$21:$H$25,0)</f>
        <v>1</v>
      </c>
      <c r="K21" s="10">
        <f t="shared" ref="K21:K25" si="22">COUNT(M21,O21,Q21,S21,U21,W21)</f>
        <v>1</v>
      </c>
      <c r="L21" s="11">
        <f t="shared" ref="L21:L25" si="23">AVERAGE(N21,P21,R21,T21,V21,X21)</f>
        <v>0.97222222222222221</v>
      </c>
      <c r="M21" s="10">
        <v>35</v>
      </c>
      <c r="N21" s="12">
        <f t="shared" ref="N21:N25" si="24">IF(M21="","",M21/$M$3)</f>
        <v>0.97222222222222221</v>
      </c>
      <c r="O21" s="10"/>
      <c r="P21" s="12" t="str">
        <f t="shared" ref="P21:P25" si="25">IF(O21="","",O21/$O$3)</f>
        <v/>
      </c>
      <c r="Q21" s="10"/>
      <c r="R21" s="12" t="str">
        <f t="shared" ref="R21:R25" si="26">IF(Q21="","",Q21/$Q$3)</f>
        <v/>
      </c>
      <c r="S21" s="10"/>
      <c r="T21" s="12" t="str">
        <f t="shared" ref="T21:T25" si="27">IF(S21="","",S21/$S$3)</f>
        <v/>
      </c>
      <c r="U21" s="10"/>
      <c r="V21" s="12" t="str">
        <f t="shared" ref="V21:V25" si="28">IF(U21="","",U21/$U$3)</f>
        <v/>
      </c>
      <c r="W21" s="10"/>
      <c r="X21" s="12" t="str">
        <f t="shared" ref="X21:X25" si="29">IF(W21="","",W21/$W$3)</f>
        <v/>
      </c>
      <c r="Y21" s="1"/>
      <c r="Z21" s="1"/>
      <c r="AA21" s="1"/>
    </row>
    <row r="22" spans="1:27" ht="12.75" x14ac:dyDescent="0.2">
      <c r="A22" s="1"/>
      <c r="B22" s="7" t="s">
        <v>55</v>
      </c>
      <c r="C22" s="7" t="s">
        <v>56</v>
      </c>
      <c r="D22" s="7">
        <v>51228</v>
      </c>
      <c r="E22" s="8" t="s">
        <v>54</v>
      </c>
      <c r="F22" s="7" t="s">
        <v>26</v>
      </c>
      <c r="G22" s="10"/>
      <c r="H22" s="10">
        <f t="shared" si="20"/>
        <v>88.89</v>
      </c>
      <c r="I22" s="10">
        <v>88.89</v>
      </c>
      <c r="J22" s="10">
        <f t="shared" si="21"/>
        <v>2</v>
      </c>
      <c r="K22" s="10">
        <f t="shared" si="22"/>
        <v>1</v>
      </c>
      <c r="L22" s="11">
        <f t="shared" si="23"/>
        <v>0.88888888888888884</v>
      </c>
      <c r="M22" s="10">
        <v>32</v>
      </c>
      <c r="N22" s="12">
        <f t="shared" si="24"/>
        <v>0.88888888888888884</v>
      </c>
      <c r="O22" s="10"/>
      <c r="P22" s="12" t="str">
        <f t="shared" si="25"/>
        <v/>
      </c>
      <c r="Q22" s="10"/>
      <c r="R22" s="12" t="str">
        <f t="shared" si="26"/>
        <v/>
      </c>
      <c r="S22" s="10"/>
      <c r="T22" s="12" t="str">
        <f t="shared" si="27"/>
        <v/>
      </c>
      <c r="U22" s="10"/>
      <c r="V22" s="12" t="str">
        <f t="shared" si="28"/>
        <v/>
      </c>
      <c r="W22" s="10"/>
      <c r="X22" s="12" t="str">
        <f t="shared" si="29"/>
        <v/>
      </c>
      <c r="Y22" s="1"/>
      <c r="Z22" s="1"/>
      <c r="AA22" s="1"/>
    </row>
    <row r="23" spans="1:27" ht="12.75" x14ac:dyDescent="0.2">
      <c r="A23" s="1"/>
      <c r="B23" s="7" t="s">
        <v>57</v>
      </c>
      <c r="C23" s="7" t="s">
        <v>58</v>
      </c>
      <c r="D23" s="7" t="s">
        <v>53</v>
      </c>
      <c r="E23" s="8" t="s">
        <v>54</v>
      </c>
      <c r="F23" s="7" t="s">
        <v>53</v>
      </c>
      <c r="G23" s="10"/>
      <c r="H23" s="10">
        <f t="shared" si="20"/>
        <v>72.22</v>
      </c>
      <c r="I23" s="10">
        <v>72.22</v>
      </c>
      <c r="J23" s="10">
        <f t="shared" si="21"/>
        <v>3</v>
      </c>
      <c r="K23" s="10">
        <f t="shared" si="22"/>
        <v>1</v>
      </c>
      <c r="L23" s="11">
        <f t="shared" si="23"/>
        <v>0.72222222222222221</v>
      </c>
      <c r="M23" s="10">
        <v>26</v>
      </c>
      <c r="N23" s="12">
        <f t="shared" si="24"/>
        <v>0.72222222222222221</v>
      </c>
      <c r="O23" s="10"/>
      <c r="P23" s="12" t="str">
        <f t="shared" si="25"/>
        <v/>
      </c>
      <c r="Q23" s="10"/>
      <c r="R23" s="12" t="str">
        <f t="shared" si="26"/>
        <v/>
      </c>
      <c r="S23" s="10"/>
      <c r="T23" s="12" t="str">
        <f t="shared" si="27"/>
        <v/>
      </c>
      <c r="U23" s="10"/>
      <c r="V23" s="12" t="str">
        <f t="shared" si="28"/>
        <v/>
      </c>
      <c r="W23" s="10"/>
      <c r="X23" s="12" t="str">
        <f t="shared" si="29"/>
        <v/>
      </c>
      <c r="Y23" s="1"/>
      <c r="Z23" s="1"/>
      <c r="AA23" s="1"/>
    </row>
    <row r="24" spans="1:27" ht="12.75" x14ac:dyDescent="0.2">
      <c r="A24" s="1"/>
      <c r="B24" s="7" t="s">
        <v>59</v>
      </c>
      <c r="C24" s="7" t="s">
        <v>60</v>
      </c>
      <c r="D24" s="7">
        <v>51213</v>
      </c>
      <c r="E24" s="8" t="s">
        <v>54</v>
      </c>
      <c r="F24" s="7" t="s">
        <v>26</v>
      </c>
      <c r="G24" s="10"/>
      <c r="H24" s="10">
        <f t="shared" si="20"/>
        <v>69.44</v>
      </c>
      <c r="I24" s="10">
        <v>69.44</v>
      </c>
      <c r="J24" s="10">
        <f t="shared" si="21"/>
        <v>4</v>
      </c>
      <c r="K24" s="10">
        <f t="shared" si="22"/>
        <v>1</v>
      </c>
      <c r="L24" s="11">
        <f t="shared" si="23"/>
        <v>0.69444444444444442</v>
      </c>
      <c r="M24" s="10">
        <v>25</v>
      </c>
      <c r="N24" s="12">
        <f t="shared" si="24"/>
        <v>0.69444444444444442</v>
      </c>
      <c r="O24" s="10"/>
      <c r="P24" s="12" t="str">
        <f t="shared" si="25"/>
        <v/>
      </c>
      <c r="Q24" s="10"/>
      <c r="R24" s="12" t="str">
        <f t="shared" si="26"/>
        <v/>
      </c>
      <c r="S24" s="10"/>
      <c r="T24" s="12" t="str">
        <f t="shared" si="27"/>
        <v/>
      </c>
      <c r="U24" s="10"/>
      <c r="V24" s="12" t="str">
        <f t="shared" si="28"/>
        <v/>
      </c>
      <c r="W24" s="10"/>
      <c r="X24" s="12" t="str">
        <f t="shared" si="29"/>
        <v/>
      </c>
      <c r="Y24" s="1"/>
      <c r="Z24" s="1"/>
      <c r="AA24" s="1"/>
    </row>
    <row r="25" spans="1:27" ht="12.75" x14ac:dyDescent="0.2">
      <c r="A25" s="1"/>
      <c r="B25" s="7" t="s">
        <v>61</v>
      </c>
      <c r="C25" s="7" t="s">
        <v>62</v>
      </c>
      <c r="D25" s="7">
        <v>51191</v>
      </c>
      <c r="E25" s="8" t="s">
        <v>54</v>
      </c>
      <c r="F25" s="7" t="s">
        <v>26</v>
      </c>
      <c r="G25" s="10"/>
      <c r="H25" s="10">
        <f t="shared" si="20"/>
        <v>52.78</v>
      </c>
      <c r="I25" s="10">
        <v>52.78</v>
      </c>
      <c r="J25" s="10">
        <f t="shared" si="21"/>
        <v>5</v>
      </c>
      <c r="K25" s="10">
        <f t="shared" si="22"/>
        <v>1</v>
      </c>
      <c r="L25" s="11">
        <f t="shared" si="23"/>
        <v>0.52777777777777779</v>
      </c>
      <c r="M25" s="10">
        <v>19</v>
      </c>
      <c r="N25" s="12">
        <f t="shared" si="24"/>
        <v>0.52777777777777779</v>
      </c>
      <c r="O25" s="10"/>
      <c r="P25" s="12" t="str">
        <f t="shared" si="25"/>
        <v/>
      </c>
      <c r="Q25" s="10"/>
      <c r="R25" s="12" t="str">
        <f t="shared" si="26"/>
        <v/>
      </c>
      <c r="S25" s="10"/>
      <c r="T25" s="12" t="str">
        <f t="shared" si="27"/>
        <v/>
      </c>
      <c r="U25" s="10"/>
      <c r="V25" s="12" t="str">
        <f t="shared" si="28"/>
        <v/>
      </c>
      <c r="W25" s="10"/>
      <c r="X25" s="12" t="str">
        <f t="shared" si="29"/>
        <v/>
      </c>
      <c r="Y25" s="1"/>
      <c r="Z25" s="1"/>
      <c r="AA25" s="1"/>
    </row>
    <row r="26" spans="1:27" ht="12.75" x14ac:dyDescent="0.2">
      <c r="A26" s="1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4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"/>
      <c r="Z26" s="1"/>
      <c r="AA26" s="1"/>
    </row>
    <row r="27" spans="1:27" ht="12.75" x14ac:dyDescent="0.2">
      <c r="A27" s="1"/>
      <c r="B27" s="7" t="s">
        <v>63</v>
      </c>
      <c r="C27" s="7" t="s">
        <v>40</v>
      </c>
      <c r="D27" s="7">
        <v>50540</v>
      </c>
      <c r="E27" s="8" t="s">
        <v>64</v>
      </c>
      <c r="F27" s="7" t="s">
        <v>65</v>
      </c>
      <c r="G27" s="9"/>
      <c r="H27" s="10">
        <f t="shared" ref="H27:H28" si="30">ROUND(SUM(N27,P27,R27,T27,V27,X27)*100,2)</f>
        <v>86.11</v>
      </c>
      <c r="I27" s="10">
        <v>86.11</v>
      </c>
      <c r="J27" s="10">
        <f t="shared" ref="J27:J28" si="31">RANK(H27,$H$27:$H$28,0)</f>
        <v>1</v>
      </c>
      <c r="K27" s="10">
        <f t="shared" ref="K27:K28" si="32">COUNT(M27,O27,Q27,S27,U27,W27)</f>
        <v>1</v>
      </c>
      <c r="L27" s="11">
        <f t="shared" ref="L27:L28" si="33">AVERAGE(N27,P27,R27,T27,V27,X27)</f>
        <v>0.86111111111111116</v>
      </c>
      <c r="M27" s="10">
        <v>31</v>
      </c>
      <c r="N27" s="12">
        <f t="shared" ref="N27:N28" si="34">IF(M27="","",M27/$M$3)</f>
        <v>0.86111111111111116</v>
      </c>
      <c r="O27" s="10"/>
      <c r="P27" s="12" t="str">
        <f t="shared" ref="P27:P28" si="35">IF(O27="","",O27/$O$3)</f>
        <v/>
      </c>
      <c r="Q27" s="10"/>
      <c r="R27" s="12" t="str">
        <f t="shared" ref="R27:R28" si="36">IF(Q27="","",Q27/$Q$3)</f>
        <v/>
      </c>
      <c r="S27" s="10"/>
      <c r="T27" s="12" t="str">
        <f t="shared" ref="T27:T28" si="37">IF(S27="","",S27/$S$3)</f>
        <v/>
      </c>
      <c r="U27" s="10"/>
      <c r="V27" s="12" t="str">
        <f t="shared" ref="V27:V28" si="38">IF(U27="","",U27/$U$3)</f>
        <v/>
      </c>
      <c r="W27" s="10"/>
      <c r="X27" s="12" t="str">
        <f t="shared" ref="X27:X28" si="39">IF(W27="","",W27/$W$3)</f>
        <v/>
      </c>
      <c r="Y27" s="1"/>
      <c r="Z27" s="1"/>
      <c r="AA27" s="1"/>
    </row>
    <row r="28" spans="1:27" ht="12.75" x14ac:dyDescent="0.2">
      <c r="A28" s="1"/>
      <c r="B28" s="7" t="s">
        <v>61</v>
      </c>
      <c r="C28" s="7" t="s">
        <v>66</v>
      </c>
      <c r="D28" s="7">
        <v>50229</v>
      </c>
      <c r="E28" s="8" t="s">
        <v>64</v>
      </c>
      <c r="F28" s="7" t="s">
        <v>26</v>
      </c>
      <c r="G28" s="10"/>
      <c r="H28" s="10">
        <f t="shared" si="30"/>
        <v>77.78</v>
      </c>
      <c r="I28" s="10">
        <v>77.78</v>
      </c>
      <c r="J28" s="10">
        <f t="shared" si="31"/>
        <v>2</v>
      </c>
      <c r="K28" s="10">
        <f t="shared" si="32"/>
        <v>1</v>
      </c>
      <c r="L28" s="11">
        <f t="shared" si="33"/>
        <v>0.77777777777777779</v>
      </c>
      <c r="M28" s="10">
        <v>28</v>
      </c>
      <c r="N28" s="12">
        <f t="shared" si="34"/>
        <v>0.77777777777777779</v>
      </c>
      <c r="O28" s="10"/>
      <c r="P28" s="12" t="str">
        <f t="shared" si="35"/>
        <v/>
      </c>
      <c r="Q28" s="10"/>
      <c r="R28" s="12" t="str">
        <f t="shared" si="36"/>
        <v/>
      </c>
      <c r="S28" s="10"/>
      <c r="T28" s="12" t="str">
        <f t="shared" si="37"/>
        <v/>
      </c>
      <c r="U28" s="10"/>
      <c r="V28" s="12" t="str">
        <f t="shared" si="38"/>
        <v/>
      </c>
      <c r="W28" s="10"/>
      <c r="X28" s="12" t="str">
        <f t="shared" si="39"/>
        <v/>
      </c>
      <c r="Y28" s="1"/>
      <c r="Z28" s="1"/>
      <c r="AA28" s="1"/>
    </row>
    <row r="29" spans="1:27" ht="12.75" x14ac:dyDescent="0.2">
      <c r="A29" s="1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4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"/>
      <c r="Z29" s="1"/>
      <c r="AA29" s="1"/>
    </row>
    <row r="30" spans="1:27" ht="12.75" x14ac:dyDescent="0.2">
      <c r="A30" s="1"/>
      <c r="B30" s="7" t="s">
        <v>67</v>
      </c>
      <c r="C30" s="7" t="s">
        <v>68</v>
      </c>
      <c r="D30" s="7">
        <v>60278</v>
      </c>
      <c r="E30" s="8" t="s">
        <v>69</v>
      </c>
      <c r="F30" s="7" t="s">
        <v>26</v>
      </c>
      <c r="G30" s="9"/>
      <c r="H30" s="10">
        <f t="shared" ref="H30:H35" si="40">ROUND(SUM(N30,P30,R30,T30,V30,X30)*100,2)</f>
        <v>100</v>
      </c>
      <c r="I30" s="10">
        <v>100</v>
      </c>
      <c r="J30" s="10">
        <f t="shared" ref="J30:J35" si="41">RANK(H30,$H$30:$H$35,0)</f>
        <v>1</v>
      </c>
      <c r="K30" s="10">
        <f t="shared" ref="K30:K35" si="42">COUNT(M30,O30,Q30,S30,U30,W30)</f>
        <v>1</v>
      </c>
      <c r="L30" s="11">
        <f t="shared" ref="L30:L35" si="43">AVERAGE(N30,P30,R30,T30,V30,X30)</f>
        <v>1</v>
      </c>
      <c r="M30" s="10">
        <v>38</v>
      </c>
      <c r="N30" s="12">
        <f t="shared" ref="N30:N35" si="44">IF(M30="","",M30/$M$4)</f>
        <v>1</v>
      </c>
      <c r="O30" s="10"/>
      <c r="P30" s="12" t="str">
        <f t="shared" ref="P30:P35" si="45">IF(O30="","",O30/$O$4)</f>
        <v/>
      </c>
      <c r="Q30" s="10"/>
      <c r="R30" s="12" t="str">
        <f t="shared" ref="R30:R35" si="46">IF(Q30="","",Q30/$Q$4)</f>
        <v/>
      </c>
      <c r="S30" s="10"/>
      <c r="T30" s="12" t="str">
        <f t="shared" ref="T30:T35" si="47">IF(S30="","",S30/$S$4)</f>
        <v/>
      </c>
      <c r="U30" s="10"/>
      <c r="V30" s="12" t="str">
        <f t="shared" ref="V30:V35" si="48">IF(U30="","",U30/$U$4)</f>
        <v/>
      </c>
      <c r="W30" s="10"/>
      <c r="X30" s="12" t="str">
        <f t="shared" ref="X30:X35" si="49">IF(W30="","",W30/$W$4)</f>
        <v/>
      </c>
      <c r="Y30" s="1"/>
      <c r="Z30" s="1"/>
      <c r="AA30" s="1"/>
    </row>
    <row r="31" spans="1:27" ht="12.75" x14ac:dyDescent="0.2">
      <c r="A31" s="1"/>
      <c r="B31" s="7" t="s">
        <v>70</v>
      </c>
      <c r="C31" s="7" t="s">
        <v>71</v>
      </c>
      <c r="D31" s="7">
        <v>51081</v>
      </c>
      <c r="E31" s="8" t="s">
        <v>69</v>
      </c>
      <c r="F31" s="7" t="s">
        <v>26</v>
      </c>
      <c r="G31" s="10"/>
      <c r="H31" s="10">
        <f t="shared" si="40"/>
        <v>92.11</v>
      </c>
      <c r="I31" s="10">
        <v>92.11</v>
      </c>
      <c r="J31" s="10">
        <f t="shared" si="41"/>
        <v>2</v>
      </c>
      <c r="K31" s="10">
        <f t="shared" si="42"/>
        <v>1</v>
      </c>
      <c r="L31" s="11">
        <f t="shared" si="43"/>
        <v>0.92105263157894735</v>
      </c>
      <c r="M31" s="10">
        <v>35</v>
      </c>
      <c r="N31" s="12">
        <f t="shared" si="44"/>
        <v>0.92105263157894735</v>
      </c>
      <c r="O31" s="10"/>
      <c r="P31" s="12" t="str">
        <f t="shared" si="45"/>
        <v/>
      </c>
      <c r="Q31" s="10"/>
      <c r="R31" s="12" t="str">
        <f t="shared" si="46"/>
        <v/>
      </c>
      <c r="S31" s="10"/>
      <c r="T31" s="12" t="str">
        <f t="shared" si="47"/>
        <v/>
      </c>
      <c r="U31" s="10"/>
      <c r="V31" s="12" t="str">
        <f t="shared" si="48"/>
        <v/>
      </c>
      <c r="W31" s="10"/>
      <c r="X31" s="12" t="str">
        <f t="shared" si="49"/>
        <v/>
      </c>
      <c r="Y31" s="1"/>
      <c r="Z31" s="1"/>
      <c r="AA31" s="1"/>
    </row>
    <row r="32" spans="1:27" ht="12.75" x14ac:dyDescent="0.2">
      <c r="A32" s="1"/>
      <c r="B32" s="7" t="s">
        <v>31</v>
      </c>
      <c r="C32" s="7" t="s">
        <v>72</v>
      </c>
      <c r="D32" s="7">
        <v>50702</v>
      </c>
      <c r="E32" s="8" t="s">
        <v>69</v>
      </c>
      <c r="F32" s="7" t="s">
        <v>26</v>
      </c>
      <c r="G32" s="10"/>
      <c r="H32" s="10">
        <f t="shared" si="40"/>
        <v>92.11</v>
      </c>
      <c r="I32" s="10">
        <v>92.11</v>
      </c>
      <c r="J32" s="10">
        <f t="shared" si="41"/>
        <v>2</v>
      </c>
      <c r="K32" s="10">
        <f t="shared" si="42"/>
        <v>1</v>
      </c>
      <c r="L32" s="11">
        <f t="shared" si="43"/>
        <v>0.92105263157894735</v>
      </c>
      <c r="M32" s="10">
        <v>35</v>
      </c>
      <c r="N32" s="12">
        <f t="shared" si="44"/>
        <v>0.92105263157894735</v>
      </c>
      <c r="O32" s="10"/>
      <c r="P32" s="12" t="str">
        <f t="shared" si="45"/>
        <v/>
      </c>
      <c r="Q32" s="10"/>
      <c r="R32" s="12" t="str">
        <f t="shared" si="46"/>
        <v/>
      </c>
      <c r="S32" s="10"/>
      <c r="T32" s="12" t="str">
        <f t="shared" si="47"/>
        <v/>
      </c>
      <c r="U32" s="10"/>
      <c r="V32" s="12" t="str">
        <f t="shared" si="48"/>
        <v/>
      </c>
      <c r="W32" s="10"/>
      <c r="X32" s="12" t="str">
        <f t="shared" si="49"/>
        <v/>
      </c>
      <c r="Y32" s="1"/>
      <c r="Z32" s="1"/>
      <c r="AA32" s="1"/>
    </row>
    <row r="33" spans="1:27" ht="12.75" x14ac:dyDescent="0.2">
      <c r="A33" s="1"/>
      <c r="B33" s="7" t="s">
        <v>73</v>
      </c>
      <c r="C33" s="7" t="s">
        <v>74</v>
      </c>
      <c r="D33" s="7">
        <v>50919</v>
      </c>
      <c r="E33" s="8" t="s">
        <v>69</v>
      </c>
      <c r="F33" s="7" t="s">
        <v>75</v>
      </c>
      <c r="G33" s="10"/>
      <c r="H33" s="10">
        <f t="shared" si="40"/>
        <v>86.84</v>
      </c>
      <c r="I33" s="10">
        <v>86.84</v>
      </c>
      <c r="J33" s="10">
        <f t="shared" si="41"/>
        <v>4</v>
      </c>
      <c r="K33" s="10">
        <f t="shared" si="42"/>
        <v>1</v>
      </c>
      <c r="L33" s="11">
        <f t="shared" si="43"/>
        <v>0.86842105263157898</v>
      </c>
      <c r="M33" s="10">
        <v>33</v>
      </c>
      <c r="N33" s="12">
        <f t="shared" si="44"/>
        <v>0.86842105263157898</v>
      </c>
      <c r="O33" s="10"/>
      <c r="P33" s="12" t="str">
        <f t="shared" si="45"/>
        <v/>
      </c>
      <c r="Q33" s="10"/>
      <c r="R33" s="12" t="str">
        <f t="shared" si="46"/>
        <v/>
      </c>
      <c r="S33" s="10"/>
      <c r="T33" s="12" t="str">
        <f t="shared" si="47"/>
        <v/>
      </c>
      <c r="U33" s="10"/>
      <c r="V33" s="12" t="str">
        <f t="shared" si="48"/>
        <v/>
      </c>
      <c r="W33" s="10"/>
      <c r="X33" s="12" t="str">
        <f t="shared" si="49"/>
        <v/>
      </c>
      <c r="Y33" s="1"/>
      <c r="Z33" s="1"/>
      <c r="AA33" s="1"/>
    </row>
    <row r="34" spans="1:27" ht="12.75" x14ac:dyDescent="0.2">
      <c r="A34" s="1"/>
      <c r="B34" s="7" t="s">
        <v>76</v>
      </c>
      <c r="C34" s="7" t="s">
        <v>77</v>
      </c>
      <c r="D34" s="7">
        <v>50022</v>
      </c>
      <c r="E34" s="8" t="s">
        <v>69</v>
      </c>
      <c r="F34" s="7" t="s">
        <v>41</v>
      </c>
      <c r="G34" s="10"/>
      <c r="H34" s="10">
        <f t="shared" si="40"/>
        <v>78.95</v>
      </c>
      <c r="I34" s="10">
        <v>78.95</v>
      </c>
      <c r="J34" s="10">
        <f t="shared" si="41"/>
        <v>5</v>
      </c>
      <c r="K34" s="10">
        <f t="shared" si="42"/>
        <v>1</v>
      </c>
      <c r="L34" s="11">
        <f t="shared" si="43"/>
        <v>0.78947368421052633</v>
      </c>
      <c r="M34" s="10">
        <v>30</v>
      </c>
      <c r="N34" s="12">
        <f t="shared" si="44"/>
        <v>0.78947368421052633</v>
      </c>
      <c r="O34" s="10"/>
      <c r="P34" s="12" t="str">
        <f t="shared" si="45"/>
        <v/>
      </c>
      <c r="Q34" s="10"/>
      <c r="R34" s="12" t="str">
        <f t="shared" si="46"/>
        <v/>
      </c>
      <c r="S34" s="10"/>
      <c r="T34" s="12" t="str">
        <f t="shared" si="47"/>
        <v/>
      </c>
      <c r="U34" s="10"/>
      <c r="V34" s="12" t="str">
        <f t="shared" si="48"/>
        <v/>
      </c>
      <c r="W34" s="10"/>
      <c r="X34" s="12" t="str">
        <f t="shared" si="49"/>
        <v/>
      </c>
      <c r="Y34" s="1"/>
      <c r="Z34" s="1"/>
      <c r="AA34" s="1"/>
    </row>
    <row r="35" spans="1:27" ht="12.75" x14ac:dyDescent="0.2">
      <c r="A35" s="1"/>
      <c r="B35" s="7" t="s">
        <v>78</v>
      </c>
      <c r="C35" s="7" t="s">
        <v>79</v>
      </c>
      <c r="D35" s="7">
        <v>50826</v>
      </c>
      <c r="E35" s="8" t="s">
        <v>69</v>
      </c>
      <c r="F35" s="7" t="s">
        <v>26</v>
      </c>
      <c r="G35" s="10"/>
      <c r="H35" s="10">
        <f t="shared" si="40"/>
        <v>60.53</v>
      </c>
      <c r="I35" s="10">
        <v>60.53</v>
      </c>
      <c r="J35" s="10">
        <f t="shared" si="41"/>
        <v>6</v>
      </c>
      <c r="K35" s="10">
        <f t="shared" si="42"/>
        <v>1</v>
      </c>
      <c r="L35" s="11">
        <f t="shared" si="43"/>
        <v>0.60526315789473684</v>
      </c>
      <c r="M35" s="10">
        <v>23</v>
      </c>
      <c r="N35" s="12">
        <f t="shared" si="44"/>
        <v>0.60526315789473684</v>
      </c>
      <c r="O35" s="10"/>
      <c r="P35" s="12" t="str">
        <f t="shared" si="45"/>
        <v/>
      </c>
      <c r="Q35" s="10"/>
      <c r="R35" s="12" t="str">
        <f t="shared" si="46"/>
        <v/>
      </c>
      <c r="S35" s="10"/>
      <c r="T35" s="12" t="str">
        <f t="shared" si="47"/>
        <v/>
      </c>
      <c r="U35" s="10"/>
      <c r="V35" s="12" t="str">
        <f t="shared" si="48"/>
        <v/>
      </c>
      <c r="W35" s="10"/>
      <c r="X35" s="12" t="str">
        <f t="shared" si="49"/>
        <v/>
      </c>
      <c r="Y35" s="1"/>
      <c r="Z35" s="1"/>
      <c r="AA35" s="1"/>
    </row>
    <row r="36" spans="1:27" ht="12.75" x14ac:dyDescent="0.2">
      <c r="A36" s="1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4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"/>
      <c r="Z36" s="1"/>
      <c r="AA36" s="1"/>
    </row>
    <row r="37" spans="1:27" ht="12.75" x14ac:dyDescent="0.2">
      <c r="A37" s="1"/>
      <c r="B37" s="7" t="s">
        <v>31</v>
      </c>
      <c r="C37" s="7" t="s">
        <v>40</v>
      </c>
      <c r="D37" s="7">
        <v>51220</v>
      </c>
      <c r="E37" s="8" t="s">
        <v>80</v>
      </c>
      <c r="F37" s="7" t="s">
        <v>75</v>
      </c>
      <c r="G37" s="9"/>
      <c r="H37" s="10">
        <f t="shared" ref="H37:H38" si="50">ROUND(SUM(N37,P37,R37,T37,V37,X37)*100,2)</f>
        <v>76.319999999999993</v>
      </c>
      <c r="I37" s="10">
        <v>76.319999999999993</v>
      </c>
      <c r="J37" s="10">
        <f t="shared" ref="J37:J38" si="51">RANK(H37,$H$37:$H$38,0)</f>
        <v>1</v>
      </c>
      <c r="K37" s="10">
        <f t="shared" ref="K37:K38" si="52">COUNT(M37,O37,Q37,S37,U37,W37)</f>
        <v>1</v>
      </c>
      <c r="L37" s="11">
        <f t="shared" ref="L37:L38" si="53">AVERAGE(N37,P37,R37,T37,V37,X37)</f>
        <v>0.76315789473684215</v>
      </c>
      <c r="M37" s="10">
        <v>29</v>
      </c>
      <c r="N37" s="12">
        <f t="shared" ref="N37:N38" si="54">IF(M37="","",M37/$M$4)</f>
        <v>0.76315789473684215</v>
      </c>
      <c r="O37" s="10"/>
      <c r="P37" s="12" t="str">
        <f t="shared" ref="P37:P38" si="55">IF(O37="","",O37/$O$4)</f>
        <v/>
      </c>
      <c r="Q37" s="10"/>
      <c r="R37" s="12" t="str">
        <f t="shared" ref="R37:R38" si="56">IF(Q37="","",Q37/$Q$4)</f>
        <v/>
      </c>
      <c r="S37" s="10"/>
      <c r="T37" s="12" t="str">
        <f t="shared" ref="T37:T38" si="57">IF(S37="","",S37/$S$4)</f>
        <v/>
      </c>
      <c r="U37" s="10"/>
      <c r="V37" s="12" t="str">
        <f t="shared" ref="V37:V38" si="58">IF(U37="","",U37/$U$4)</f>
        <v/>
      </c>
      <c r="W37" s="10"/>
      <c r="X37" s="12" t="str">
        <f t="shared" ref="X37:X38" si="59">IF(W37="","",W37/$W$4)</f>
        <v/>
      </c>
      <c r="Y37" s="1"/>
      <c r="Z37" s="1"/>
      <c r="AA37" s="1"/>
    </row>
    <row r="38" spans="1:27" ht="12.75" x14ac:dyDescent="0.2">
      <c r="A38" s="1"/>
      <c r="B38" s="7" t="s">
        <v>81</v>
      </c>
      <c r="C38" s="7" t="s">
        <v>82</v>
      </c>
      <c r="D38" s="7">
        <v>51222</v>
      </c>
      <c r="E38" s="8" t="s">
        <v>80</v>
      </c>
      <c r="F38" s="7" t="s">
        <v>75</v>
      </c>
      <c r="G38" s="10"/>
      <c r="H38" s="10">
        <f t="shared" si="50"/>
        <v>71.05</v>
      </c>
      <c r="I38" s="10">
        <v>71.05</v>
      </c>
      <c r="J38" s="10">
        <f t="shared" si="51"/>
        <v>2</v>
      </c>
      <c r="K38" s="10">
        <f t="shared" si="52"/>
        <v>1</v>
      </c>
      <c r="L38" s="11">
        <f t="shared" si="53"/>
        <v>0.71052631578947367</v>
      </c>
      <c r="M38" s="10">
        <v>27</v>
      </c>
      <c r="N38" s="12">
        <f t="shared" si="54"/>
        <v>0.71052631578947367</v>
      </c>
      <c r="O38" s="10"/>
      <c r="P38" s="12" t="str">
        <f t="shared" si="55"/>
        <v/>
      </c>
      <c r="Q38" s="10"/>
      <c r="R38" s="12" t="str">
        <f t="shared" si="56"/>
        <v/>
      </c>
      <c r="S38" s="10"/>
      <c r="T38" s="12" t="str">
        <f t="shared" si="57"/>
        <v/>
      </c>
      <c r="U38" s="10"/>
      <c r="V38" s="12" t="str">
        <f t="shared" si="58"/>
        <v/>
      </c>
      <c r="W38" s="10"/>
      <c r="X38" s="12" t="str">
        <f t="shared" si="59"/>
        <v/>
      </c>
      <c r="Y38" s="1"/>
      <c r="Z38" s="1"/>
      <c r="AA38" s="1"/>
    </row>
    <row r="39" spans="1:27" ht="12.75" x14ac:dyDescent="0.2">
      <c r="A39" s="1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4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"/>
      <c r="Z39" s="1"/>
      <c r="AA39" s="1"/>
    </row>
    <row r="40" spans="1:27" ht="12.75" x14ac:dyDescent="0.2">
      <c r="A40" s="1"/>
      <c r="B40" s="7" t="s">
        <v>83</v>
      </c>
      <c r="C40" s="7" t="s">
        <v>84</v>
      </c>
      <c r="D40" s="7" t="s">
        <v>53</v>
      </c>
      <c r="E40" s="8" t="s">
        <v>85</v>
      </c>
      <c r="F40" s="7" t="s">
        <v>53</v>
      </c>
      <c r="G40" s="9"/>
      <c r="H40" s="10">
        <f>ROUND(SUM(N40,P40,R40,T40,V40,X40)*100,2)</f>
        <v>94.74</v>
      </c>
      <c r="I40" s="10">
        <v>94.74</v>
      </c>
      <c r="J40" s="10">
        <f>RANK(H40,$H$40,0)</f>
        <v>1</v>
      </c>
      <c r="K40" s="10">
        <f>COUNT(M40,O40,Q40,S40,U40,W40)</f>
        <v>1</v>
      </c>
      <c r="L40" s="11">
        <f>AVERAGE(N40,P40,R40,T40,V40,X40)</f>
        <v>0.94736842105263153</v>
      </c>
      <c r="M40" s="10">
        <v>36</v>
      </c>
      <c r="N40" s="12">
        <f>IF(M40="","",M40/$M$4)</f>
        <v>0.94736842105263153</v>
      </c>
      <c r="O40" s="10"/>
      <c r="P40" s="12" t="str">
        <f>IF(O40="","",O40/$O$4)</f>
        <v/>
      </c>
      <c r="Q40" s="10"/>
      <c r="R40" s="12" t="str">
        <f>IF(Q40="","",Q40/$Q$4)</f>
        <v/>
      </c>
      <c r="S40" s="10"/>
      <c r="T40" s="12" t="str">
        <f>IF(S40="","",S40/$S$4)</f>
        <v/>
      </c>
      <c r="U40" s="10"/>
      <c r="V40" s="12" t="str">
        <f>IF(U40="","",U40/$U$4)</f>
        <v/>
      </c>
      <c r="W40" s="10"/>
      <c r="X40" s="12" t="str">
        <f>IF(W40="","",W40/$W$4)</f>
        <v/>
      </c>
      <c r="Y40" s="1"/>
      <c r="Z40" s="1"/>
      <c r="AA40" s="1"/>
    </row>
    <row r="41" spans="1:27" ht="12.75" x14ac:dyDescent="0.2">
      <c r="A41" s="1"/>
      <c r="B41" s="15"/>
      <c r="C41" s="15"/>
      <c r="D41" s="15"/>
      <c r="E41" s="16"/>
      <c r="F41" s="15"/>
      <c r="G41" s="1"/>
      <c r="H41" s="1"/>
      <c r="I41" s="1"/>
      <c r="J41" s="1"/>
      <c r="K41" s="1"/>
      <c r="L41" s="1"/>
      <c r="M41" s="1"/>
      <c r="N41" s="17"/>
      <c r="O41" s="1"/>
      <c r="P41" s="17"/>
      <c r="Q41" s="1"/>
      <c r="R41" s="17"/>
      <c r="S41" s="1"/>
      <c r="T41" s="17"/>
      <c r="U41" s="1"/>
      <c r="V41" s="17"/>
      <c r="W41" s="1"/>
      <c r="X41" s="17"/>
      <c r="Y41" s="1"/>
      <c r="Z41" s="1"/>
      <c r="AA41" s="1"/>
    </row>
    <row r="42" spans="1:27" ht="12.75" x14ac:dyDescent="0.2">
      <c r="A42" s="1"/>
      <c r="B42" s="15"/>
      <c r="C42" s="15"/>
      <c r="D42" s="15"/>
      <c r="E42" s="16"/>
      <c r="F42" s="15"/>
      <c r="G42" s="1"/>
      <c r="H42" s="1"/>
      <c r="I42" s="1"/>
      <c r="J42" s="1"/>
      <c r="K42" s="1"/>
      <c r="L42" s="1"/>
      <c r="M42" s="1"/>
      <c r="N42" s="17"/>
      <c r="O42" s="1"/>
      <c r="P42" s="17"/>
      <c r="Q42" s="1"/>
      <c r="R42" s="17"/>
      <c r="S42" s="1"/>
      <c r="T42" s="17"/>
      <c r="U42" s="1"/>
      <c r="V42" s="17"/>
      <c r="W42" s="1"/>
      <c r="X42" s="17"/>
      <c r="Y42" s="1"/>
      <c r="Z42" s="1"/>
      <c r="AA42" s="1"/>
    </row>
    <row r="43" spans="1:27" ht="12.7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2.75" x14ac:dyDescent="0.2">
      <c r="A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2.75" x14ac:dyDescent="0.2">
      <c r="A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2.7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2.7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2.7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2.7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2.7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2.7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2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2.75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2.75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2.75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12.75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ht="12.75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ht="12.75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 spans="1:27" ht="12.75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  <row r="1008" spans="1:27" ht="12.75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</row>
    <row r="1009" spans="1:27" ht="12.75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</row>
    <row r="1010" spans="1:27" ht="12.75" x14ac:dyDescent="0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</row>
    <row r="1011" spans="1:27" ht="12.75" x14ac:dyDescent="0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</row>
    <row r="1012" spans="1:27" ht="12.75" x14ac:dyDescent="0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</row>
    <row r="1013" spans="1:27" ht="12.75" x14ac:dyDescent="0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</row>
    <row r="1014" spans="1:27" ht="12.75" x14ac:dyDescent="0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</row>
    <row r="1015" spans="1:27" ht="12.75" x14ac:dyDescent="0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</row>
    <row r="1016" spans="1:27" ht="12.75" x14ac:dyDescent="0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</row>
    <row r="1017" spans="1:27" ht="12.75" x14ac:dyDescent="0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</row>
  </sheetData>
  <mergeCells count="19">
    <mergeCell ref="W2:X2"/>
    <mergeCell ref="B3:C4"/>
    <mergeCell ref="M2:N2"/>
    <mergeCell ref="O2:P2"/>
    <mergeCell ref="Q2:R2"/>
    <mergeCell ref="S2:T2"/>
    <mergeCell ref="U2:V2"/>
    <mergeCell ref="W3:X3"/>
    <mergeCell ref="M4:N4"/>
    <mergeCell ref="O4:P4"/>
    <mergeCell ref="Q4:R4"/>
    <mergeCell ref="S4:T4"/>
    <mergeCell ref="U4:V4"/>
    <mergeCell ref="W4:X4"/>
    <mergeCell ref="M3:N3"/>
    <mergeCell ref="O3:P3"/>
    <mergeCell ref="Q3:R3"/>
    <mergeCell ref="S3:T3"/>
    <mergeCell ref="U3:V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M959"/>
  <sheetViews>
    <sheetView topLeftCell="E1" workbookViewId="0">
      <pane ySplit="5" topLeftCell="A87" activePane="bottomLeft" state="frozen"/>
      <selection pane="bottomLeft" activeCell="H109" sqref="H109"/>
    </sheetView>
  </sheetViews>
  <sheetFormatPr defaultColWidth="12.5703125" defaultRowHeight="15.75" customHeight="1" x14ac:dyDescent="0.2"/>
  <cols>
    <col min="1" max="1" width="3.140625" customWidth="1"/>
    <col min="2" max="2" width="21.5703125" customWidth="1"/>
    <col min="3" max="3" width="16.42578125" customWidth="1"/>
    <col min="4" max="4" width="7.140625" customWidth="1"/>
    <col min="5" max="5" width="13.85546875" customWidth="1"/>
    <col min="6" max="6" width="15.42578125" customWidth="1"/>
    <col min="7" max="7" width="14.42578125" customWidth="1"/>
    <col min="8" max="9" width="11.85546875" customWidth="1"/>
    <col min="10" max="65" width="4.28515625" customWidth="1"/>
  </cols>
  <sheetData>
    <row r="1" spans="1:65" ht="5.25" customHeight="1" x14ac:dyDescent="0.2">
      <c r="A1" s="1"/>
      <c r="B1" s="1"/>
      <c r="C1" s="1"/>
      <c r="D1" s="1"/>
      <c r="E1" s="1"/>
      <c r="F1" s="1"/>
      <c r="G1" s="1"/>
      <c r="H1" s="1"/>
      <c r="I1" s="1"/>
    </row>
    <row r="2" spans="1:65" ht="12.75" x14ac:dyDescent="0.2">
      <c r="A2" s="1"/>
      <c r="B2" s="56" t="s">
        <v>86</v>
      </c>
      <c r="C2" s="57"/>
      <c r="D2" s="1"/>
      <c r="E2" s="1"/>
      <c r="F2" s="1"/>
      <c r="G2" s="1"/>
      <c r="H2" s="18"/>
      <c r="J2" s="60" t="s">
        <v>87</v>
      </c>
      <c r="K2" s="61"/>
      <c r="L2" s="61"/>
      <c r="M2" s="61"/>
      <c r="N2" s="61"/>
      <c r="O2" s="61"/>
      <c r="P2" s="54"/>
      <c r="Q2" s="62" t="s">
        <v>88</v>
      </c>
      <c r="R2" s="61"/>
      <c r="S2" s="61"/>
      <c r="T2" s="61"/>
      <c r="U2" s="61"/>
      <c r="V2" s="61"/>
      <c r="W2" s="54"/>
      <c r="X2" s="60" t="s">
        <v>89</v>
      </c>
      <c r="Y2" s="61"/>
      <c r="Z2" s="61"/>
      <c r="AA2" s="61"/>
      <c r="AB2" s="61"/>
      <c r="AC2" s="61"/>
      <c r="AD2" s="54"/>
      <c r="AE2" s="62" t="s">
        <v>90</v>
      </c>
      <c r="AF2" s="61"/>
      <c r="AG2" s="61"/>
      <c r="AH2" s="61"/>
      <c r="AI2" s="61"/>
      <c r="AJ2" s="61"/>
      <c r="AK2" s="54"/>
      <c r="AL2" s="60" t="s">
        <v>91</v>
      </c>
      <c r="AM2" s="61"/>
      <c r="AN2" s="61"/>
      <c r="AO2" s="61"/>
      <c r="AP2" s="61"/>
      <c r="AQ2" s="61"/>
      <c r="AR2" s="54"/>
      <c r="AS2" s="62" t="s">
        <v>92</v>
      </c>
      <c r="AT2" s="61"/>
      <c r="AU2" s="61"/>
      <c r="AV2" s="61"/>
      <c r="AW2" s="61"/>
      <c r="AX2" s="61"/>
      <c r="AY2" s="54"/>
      <c r="AZ2" s="60" t="s">
        <v>93</v>
      </c>
      <c r="BA2" s="61"/>
      <c r="BB2" s="61"/>
      <c r="BC2" s="61"/>
      <c r="BD2" s="61"/>
      <c r="BE2" s="61"/>
      <c r="BF2" s="54"/>
      <c r="BG2" s="62" t="s">
        <v>94</v>
      </c>
      <c r="BH2" s="61"/>
      <c r="BI2" s="61"/>
      <c r="BJ2" s="61"/>
      <c r="BK2" s="61"/>
      <c r="BL2" s="61"/>
      <c r="BM2" s="54"/>
    </row>
    <row r="3" spans="1:65" ht="12.75" x14ac:dyDescent="0.2">
      <c r="A3" s="1"/>
      <c r="B3" s="58"/>
      <c r="C3" s="59"/>
      <c r="D3" s="1"/>
      <c r="E3" s="1"/>
      <c r="F3" s="1"/>
      <c r="G3" s="1"/>
      <c r="H3" s="18"/>
      <c r="I3" s="2" t="s">
        <v>95</v>
      </c>
      <c r="J3" s="19">
        <v>1</v>
      </c>
      <c r="K3" s="19">
        <v>2</v>
      </c>
      <c r="L3" s="19">
        <v>3</v>
      </c>
      <c r="M3" s="19">
        <v>4</v>
      </c>
      <c r="N3" s="19">
        <v>5</v>
      </c>
      <c r="O3" s="19">
        <v>6</v>
      </c>
      <c r="P3" s="19">
        <v>7</v>
      </c>
      <c r="Q3" s="20">
        <v>1</v>
      </c>
      <c r="R3" s="20">
        <v>2</v>
      </c>
      <c r="S3" s="20">
        <v>3</v>
      </c>
      <c r="T3" s="20">
        <v>4</v>
      </c>
      <c r="U3" s="20">
        <v>5</v>
      </c>
      <c r="V3" s="20">
        <v>6</v>
      </c>
      <c r="W3" s="20">
        <v>7</v>
      </c>
      <c r="X3" s="19">
        <v>1</v>
      </c>
      <c r="Y3" s="19">
        <v>2</v>
      </c>
      <c r="Z3" s="19">
        <v>3</v>
      </c>
      <c r="AA3" s="19">
        <v>4</v>
      </c>
      <c r="AB3" s="19">
        <v>5</v>
      </c>
      <c r="AC3" s="19">
        <v>6</v>
      </c>
      <c r="AD3" s="19">
        <v>7</v>
      </c>
      <c r="AE3" s="20">
        <v>1</v>
      </c>
      <c r="AF3" s="20">
        <v>2</v>
      </c>
      <c r="AG3" s="20">
        <v>3</v>
      </c>
      <c r="AH3" s="20">
        <v>4</v>
      </c>
      <c r="AI3" s="20">
        <v>5</v>
      </c>
      <c r="AJ3" s="20">
        <v>6</v>
      </c>
      <c r="AK3" s="20">
        <v>7</v>
      </c>
      <c r="AL3" s="19">
        <v>1</v>
      </c>
      <c r="AM3" s="19">
        <v>2</v>
      </c>
      <c r="AN3" s="19">
        <v>3</v>
      </c>
      <c r="AO3" s="19">
        <v>4</v>
      </c>
      <c r="AP3" s="19">
        <v>5</v>
      </c>
      <c r="AQ3" s="19">
        <v>6</v>
      </c>
      <c r="AR3" s="19">
        <v>7</v>
      </c>
      <c r="AS3" s="20">
        <v>1</v>
      </c>
      <c r="AT3" s="20">
        <v>2</v>
      </c>
      <c r="AU3" s="20">
        <v>3</v>
      </c>
      <c r="AV3" s="20">
        <v>4</v>
      </c>
      <c r="AW3" s="20">
        <v>5</v>
      </c>
      <c r="AX3" s="20">
        <v>6</v>
      </c>
      <c r="AY3" s="20">
        <v>7</v>
      </c>
      <c r="AZ3" s="19">
        <v>1</v>
      </c>
      <c r="BA3" s="19">
        <v>2</v>
      </c>
      <c r="BB3" s="19">
        <v>3</v>
      </c>
      <c r="BC3" s="19">
        <v>4</v>
      </c>
      <c r="BD3" s="19">
        <v>5</v>
      </c>
      <c r="BE3" s="19">
        <v>6</v>
      </c>
      <c r="BF3" s="19">
        <v>7</v>
      </c>
      <c r="BG3" s="20">
        <v>1</v>
      </c>
      <c r="BH3" s="20">
        <v>2</v>
      </c>
      <c r="BI3" s="20">
        <v>3</v>
      </c>
      <c r="BJ3" s="20">
        <v>4</v>
      </c>
      <c r="BK3" s="20">
        <v>5</v>
      </c>
      <c r="BL3" s="20">
        <v>6</v>
      </c>
      <c r="BM3" s="20">
        <v>7</v>
      </c>
    </row>
    <row r="4" spans="1:65" ht="20.25" customHeight="1" x14ac:dyDescent="0.2">
      <c r="A4" s="4"/>
      <c r="B4" s="21" t="s">
        <v>10</v>
      </c>
      <c r="C4" s="21" t="s">
        <v>11</v>
      </c>
      <c r="D4" s="21" t="s">
        <v>12</v>
      </c>
      <c r="E4" s="21" t="s">
        <v>13</v>
      </c>
      <c r="F4" s="21" t="s">
        <v>14</v>
      </c>
      <c r="G4" s="22" t="s">
        <v>19</v>
      </c>
      <c r="H4" s="22" t="s">
        <v>96</v>
      </c>
      <c r="I4" s="23" t="s">
        <v>97</v>
      </c>
      <c r="J4" s="24">
        <v>38</v>
      </c>
      <c r="K4" s="24">
        <v>36</v>
      </c>
      <c r="L4" s="24">
        <v>39</v>
      </c>
      <c r="M4" s="24">
        <v>35</v>
      </c>
      <c r="N4" s="24">
        <v>40</v>
      </c>
      <c r="O4" s="24">
        <v>38</v>
      </c>
      <c r="P4" s="24"/>
      <c r="Q4" s="24">
        <v>34</v>
      </c>
      <c r="R4" s="24">
        <v>37</v>
      </c>
      <c r="S4" s="24">
        <v>38</v>
      </c>
      <c r="T4" s="24">
        <v>37</v>
      </c>
      <c r="U4" s="24">
        <v>39</v>
      </c>
      <c r="V4" s="24">
        <v>37</v>
      </c>
      <c r="W4" s="24">
        <v>38</v>
      </c>
      <c r="X4" s="24">
        <v>39</v>
      </c>
      <c r="Y4" s="24">
        <v>39</v>
      </c>
      <c r="Z4" s="24">
        <v>33</v>
      </c>
      <c r="AA4" s="24">
        <v>40</v>
      </c>
      <c r="AB4" s="24">
        <v>37</v>
      </c>
      <c r="AC4" s="24">
        <v>34</v>
      </c>
      <c r="AD4" s="24"/>
      <c r="AE4" s="24">
        <v>35</v>
      </c>
      <c r="AF4" s="24">
        <v>35</v>
      </c>
      <c r="AG4" s="24">
        <v>28</v>
      </c>
      <c r="AH4" s="24">
        <v>40</v>
      </c>
      <c r="AI4" s="24">
        <v>31</v>
      </c>
      <c r="AJ4" s="24">
        <v>38</v>
      </c>
      <c r="AK4" s="24"/>
      <c r="AL4" s="24">
        <v>36</v>
      </c>
      <c r="AM4" s="24">
        <v>37</v>
      </c>
      <c r="AN4" s="24">
        <v>39</v>
      </c>
      <c r="AO4" s="24">
        <v>31</v>
      </c>
      <c r="AP4" s="24">
        <v>39</v>
      </c>
      <c r="AQ4" s="24">
        <v>36</v>
      </c>
      <c r="AR4" s="24"/>
      <c r="AS4" s="24">
        <v>36</v>
      </c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</row>
    <row r="5" spans="1:65" ht="20.25" customHeight="1" x14ac:dyDescent="0.2">
      <c r="A5" s="4"/>
      <c r="B5" s="21"/>
      <c r="C5" s="21"/>
      <c r="D5" s="21"/>
      <c r="E5" s="21"/>
      <c r="F5" s="21"/>
      <c r="G5" s="22"/>
      <c r="H5" s="22"/>
      <c r="I5" s="23" t="s">
        <v>98</v>
      </c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>
        <v>38</v>
      </c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</row>
    <row r="6" spans="1:65" ht="12.75" x14ac:dyDescent="0.2">
      <c r="A6" s="1"/>
      <c r="B6" s="7" t="s">
        <v>78</v>
      </c>
      <c r="C6" s="7" t="s">
        <v>99</v>
      </c>
      <c r="D6" s="7">
        <v>50593</v>
      </c>
      <c r="E6" s="8" t="s">
        <v>25</v>
      </c>
      <c r="F6" s="7" t="s">
        <v>26</v>
      </c>
      <c r="G6" s="25">
        <f t="shared" ref="G6:G18" si="0">COUNT(J6:ZZ6)</f>
        <v>12</v>
      </c>
      <c r="H6" s="26">
        <f ca="1">IFERROR(__xludf.DUMMYFUNCTION("IFERROR(AVERAGE(FILTER(J6:ZZ6/J$4:ZZ$4, J6:ZZ6&lt;&gt;"""")), """")"),0.983398865635707)</f>
        <v>0.983398865635707</v>
      </c>
      <c r="I6" s="27" t="s">
        <v>21</v>
      </c>
      <c r="J6" s="28"/>
      <c r="K6" s="28"/>
      <c r="L6" s="28"/>
      <c r="M6" s="28"/>
      <c r="N6" s="28">
        <v>40</v>
      </c>
      <c r="O6" s="28">
        <v>37</v>
      </c>
      <c r="P6" s="28"/>
      <c r="Q6" s="29"/>
      <c r="R6" s="29"/>
      <c r="S6" s="29">
        <v>38</v>
      </c>
      <c r="T6" s="29">
        <v>37</v>
      </c>
      <c r="U6" s="29">
        <v>39</v>
      </c>
      <c r="V6" s="29">
        <v>37</v>
      </c>
      <c r="W6" s="29"/>
      <c r="X6" s="28">
        <v>37</v>
      </c>
      <c r="Y6" s="28"/>
      <c r="Z6" s="28">
        <v>32</v>
      </c>
      <c r="AA6" s="28">
        <v>40</v>
      </c>
      <c r="AB6" s="28">
        <v>36</v>
      </c>
      <c r="AC6" s="28"/>
      <c r="AD6" s="28"/>
      <c r="AE6" s="29"/>
      <c r="AF6" s="29">
        <v>34</v>
      </c>
      <c r="AG6" s="29">
        <v>27</v>
      </c>
      <c r="AH6" s="29"/>
      <c r="AI6" s="29"/>
      <c r="AJ6" s="29"/>
      <c r="AK6" s="29"/>
      <c r="AL6" s="28"/>
      <c r="AM6" s="28"/>
      <c r="AN6" s="28"/>
      <c r="AO6" s="28"/>
      <c r="AP6" s="28"/>
      <c r="AQ6" s="28"/>
      <c r="AR6" s="28"/>
      <c r="AS6" s="29"/>
      <c r="AT6" s="29"/>
      <c r="AU6" s="29"/>
      <c r="AV6" s="29"/>
      <c r="AW6" s="29"/>
      <c r="AX6" s="29"/>
      <c r="AY6" s="29"/>
      <c r="AZ6" s="28"/>
      <c r="BA6" s="28"/>
      <c r="BB6" s="28"/>
      <c r="BC6" s="28"/>
      <c r="BD6" s="28"/>
      <c r="BE6" s="28"/>
      <c r="BF6" s="28"/>
      <c r="BG6" s="29"/>
      <c r="BH6" s="29"/>
      <c r="BI6" s="29"/>
      <c r="BJ6" s="29"/>
      <c r="BK6" s="29"/>
      <c r="BL6" s="29"/>
      <c r="BM6" s="29"/>
    </row>
    <row r="7" spans="1:65" ht="12.75" x14ac:dyDescent="0.2">
      <c r="A7" s="1"/>
      <c r="B7" s="8" t="s">
        <v>100</v>
      </c>
      <c r="C7" s="8" t="s">
        <v>101</v>
      </c>
      <c r="D7" s="8">
        <v>60616</v>
      </c>
      <c r="E7" s="8" t="s">
        <v>25</v>
      </c>
      <c r="F7" s="8" t="s">
        <v>26</v>
      </c>
      <c r="G7" s="25">
        <f t="shared" si="0"/>
        <v>3</v>
      </c>
      <c r="H7" s="26">
        <f ca="1">IFERROR(__xludf.DUMMYFUNCTION("IFERROR(AVERAGE(FILTER(J7:ZZ7/J$4:ZZ$4, J7:ZZ7&lt;&gt;"""")), """")"),0.974786324786324)</f>
        <v>0.97478632478632399</v>
      </c>
      <c r="I7" s="27" t="s">
        <v>21</v>
      </c>
      <c r="J7" s="30"/>
      <c r="K7" s="30"/>
      <c r="L7" s="30">
        <v>38</v>
      </c>
      <c r="M7" s="30">
        <v>35</v>
      </c>
      <c r="N7" s="30">
        <v>38</v>
      </c>
      <c r="O7" s="30"/>
      <c r="P7" s="30"/>
      <c r="Q7" s="31"/>
      <c r="R7" s="31"/>
      <c r="S7" s="31"/>
      <c r="T7" s="31"/>
      <c r="U7" s="31"/>
      <c r="V7" s="31"/>
      <c r="W7" s="31"/>
      <c r="X7" s="30"/>
      <c r="Y7" s="30"/>
      <c r="Z7" s="30"/>
      <c r="AA7" s="30"/>
      <c r="AB7" s="30"/>
      <c r="AC7" s="30"/>
      <c r="AD7" s="30"/>
      <c r="AE7" s="31"/>
      <c r="AF7" s="31"/>
      <c r="AG7" s="31"/>
      <c r="AH7" s="31"/>
      <c r="AI7" s="31"/>
      <c r="AJ7" s="31"/>
      <c r="AK7" s="31"/>
      <c r="AL7" s="30"/>
      <c r="AM7" s="30"/>
      <c r="AN7" s="30"/>
      <c r="AO7" s="30"/>
      <c r="AP7" s="30"/>
      <c r="AQ7" s="30"/>
      <c r="AR7" s="30"/>
      <c r="AS7" s="31"/>
      <c r="AT7" s="31"/>
      <c r="AU7" s="31"/>
      <c r="AV7" s="31"/>
      <c r="AW7" s="31"/>
      <c r="AX7" s="31"/>
      <c r="AY7" s="31"/>
      <c r="AZ7" s="30"/>
      <c r="BA7" s="30"/>
      <c r="BB7" s="30"/>
      <c r="BC7" s="30"/>
      <c r="BD7" s="30"/>
      <c r="BE7" s="30"/>
      <c r="BF7" s="30"/>
      <c r="BG7" s="31"/>
      <c r="BH7" s="31"/>
      <c r="BI7" s="31"/>
      <c r="BJ7" s="31"/>
      <c r="BK7" s="31"/>
      <c r="BL7" s="31"/>
      <c r="BM7" s="31"/>
    </row>
    <row r="8" spans="1:65" ht="12.75" x14ac:dyDescent="0.2">
      <c r="A8" s="1"/>
      <c r="B8" s="7" t="s">
        <v>102</v>
      </c>
      <c r="C8" s="7" t="s">
        <v>103</v>
      </c>
      <c r="D8" s="7">
        <v>50062</v>
      </c>
      <c r="E8" s="8" t="s">
        <v>25</v>
      </c>
      <c r="F8" s="7" t="s">
        <v>75</v>
      </c>
      <c r="G8" s="25">
        <f t="shared" si="0"/>
        <v>12</v>
      </c>
      <c r="H8" s="26">
        <f ca="1">IFERROR(__xludf.DUMMYFUNCTION("IFERROR(AVERAGE(FILTER(J8:ZZ8/J$4:ZZ$4, J8:ZZ8&lt;&gt;"""")), """")"),0.951468088968089)</f>
        <v>0.95146808896808899</v>
      </c>
      <c r="I8" s="27" t="s">
        <v>21</v>
      </c>
      <c r="J8" s="28"/>
      <c r="K8" s="28"/>
      <c r="L8" s="28"/>
      <c r="M8" s="28"/>
      <c r="N8" s="28"/>
      <c r="O8" s="28"/>
      <c r="P8" s="28"/>
      <c r="Q8" s="29"/>
      <c r="R8" s="29">
        <v>33</v>
      </c>
      <c r="S8" s="29"/>
      <c r="T8" s="29">
        <v>36</v>
      </c>
      <c r="U8" s="29"/>
      <c r="V8" s="29">
        <v>37</v>
      </c>
      <c r="W8" s="29">
        <v>38</v>
      </c>
      <c r="X8" s="28">
        <v>35</v>
      </c>
      <c r="Y8" s="28"/>
      <c r="Z8" s="28"/>
      <c r="AA8" s="28"/>
      <c r="AB8" s="28">
        <v>30</v>
      </c>
      <c r="AC8" s="28">
        <v>34</v>
      </c>
      <c r="AD8" s="28"/>
      <c r="AE8" s="29">
        <v>34</v>
      </c>
      <c r="AF8" s="29"/>
      <c r="AG8" s="29"/>
      <c r="AH8" s="29">
        <v>38</v>
      </c>
      <c r="AI8" s="29"/>
      <c r="AJ8" s="29">
        <v>38</v>
      </c>
      <c r="AK8" s="29"/>
      <c r="AL8" s="28"/>
      <c r="AM8" s="28">
        <v>37</v>
      </c>
      <c r="AN8" s="28">
        <v>36</v>
      </c>
      <c r="AO8" s="28"/>
      <c r="AP8" s="28"/>
      <c r="AQ8" s="28"/>
      <c r="AR8" s="28"/>
      <c r="AS8" s="29"/>
      <c r="AT8" s="29"/>
      <c r="AU8" s="29"/>
      <c r="AV8" s="29"/>
      <c r="AW8" s="29"/>
      <c r="AX8" s="29"/>
      <c r="AY8" s="29"/>
      <c r="AZ8" s="28"/>
      <c r="BA8" s="28"/>
      <c r="BB8" s="28"/>
      <c r="BC8" s="28"/>
      <c r="BD8" s="28"/>
      <c r="BE8" s="28"/>
      <c r="BF8" s="28"/>
      <c r="BG8" s="29"/>
      <c r="BH8" s="29"/>
      <c r="BI8" s="29"/>
      <c r="BJ8" s="29"/>
      <c r="BK8" s="29"/>
      <c r="BL8" s="29"/>
      <c r="BM8" s="29"/>
    </row>
    <row r="9" spans="1:65" ht="12.75" x14ac:dyDescent="0.2">
      <c r="A9" s="1"/>
      <c r="B9" s="7" t="s">
        <v>104</v>
      </c>
      <c r="C9" s="7" t="s">
        <v>105</v>
      </c>
      <c r="D9" s="7">
        <v>50563</v>
      </c>
      <c r="E9" s="8" t="s">
        <v>25</v>
      </c>
      <c r="F9" s="7" t="s">
        <v>26</v>
      </c>
      <c r="G9" s="25">
        <f t="shared" si="0"/>
        <v>12</v>
      </c>
      <c r="H9" s="26">
        <f ca="1">IFERROR(__xludf.DUMMYFUNCTION("IFERROR(AVERAGE(FILTER(J9:ZZ9/J$4:ZZ$4, J9:ZZ9&lt;&gt;"""")), """")"),0.949900703890517)</f>
        <v>0.94990070389051695</v>
      </c>
      <c r="I9" s="27" t="s">
        <v>21</v>
      </c>
      <c r="J9" s="28"/>
      <c r="K9" s="28"/>
      <c r="L9" s="28"/>
      <c r="M9" s="28"/>
      <c r="N9" s="28"/>
      <c r="O9" s="28"/>
      <c r="P9" s="28"/>
      <c r="Q9" s="29"/>
      <c r="R9" s="29"/>
      <c r="S9" s="29"/>
      <c r="T9" s="29"/>
      <c r="U9" s="29"/>
      <c r="V9" s="29"/>
      <c r="W9" s="29"/>
      <c r="X9" s="28"/>
      <c r="Y9" s="28"/>
      <c r="Z9" s="28"/>
      <c r="AA9" s="28"/>
      <c r="AB9" s="28"/>
      <c r="AC9" s="28"/>
      <c r="AD9" s="28"/>
      <c r="AE9" s="29">
        <v>35</v>
      </c>
      <c r="AF9" s="29">
        <v>35</v>
      </c>
      <c r="AG9" s="29">
        <v>28</v>
      </c>
      <c r="AH9" s="29">
        <v>38</v>
      </c>
      <c r="AI9" s="29">
        <v>29</v>
      </c>
      <c r="AJ9" s="29">
        <v>36</v>
      </c>
      <c r="AK9" s="29"/>
      <c r="AL9" s="28">
        <v>35</v>
      </c>
      <c r="AM9" s="28">
        <v>36</v>
      </c>
      <c r="AN9" s="28">
        <v>37</v>
      </c>
      <c r="AO9" s="28">
        <v>26</v>
      </c>
      <c r="AP9" s="28">
        <v>39</v>
      </c>
      <c r="AQ9" s="28">
        <v>30</v>
      </c>
      <c r="AR9" s="28"/>
      <c r="AS9" s="29"/>
      <c r="AT9" s="29"/>
      <c r="AU9" s="29"/>
      <c r="AV9" s="29"/>
      <c r="AW9" s="29"/>
      <c r="AX9" s="29"/>
      <c r="AY9" s="29"/>
      <c r="AZ9" s="28"/>
      <c r="BA9" s="28"/>
      <c r="BB9" s="28"/>
      <c r="BC9" s="28"/>
      <c r="BD9" s="28"/>
      <c r="BE9" s="28"/>
      <c r="BF9" s="28"/>
      <c r="BG9" s="29"/>
      <c r="BH9" s="29"/>
      <c r="BI9" s="29"/>
      <c r="BJ9" s="29"/>
      <c r="BK9" s="29"/>
      <c r="BL9" s="29"/>
      <c r="BM9" s="29"/>
    </row>
    <row r="10" spans="1:65" ht="12.75" x14ac:dyDescent="0.2">
      <c r="A10" s="1"/>
      <c r="B10" s="7" t="s">
        <v>106</v>
      </c>
      <c r="C10" s="7" t="s">
        <v>31</v>
      </c>
      <c r="D10" s="7">
        <v>60584</v>
      </c>
      <c r="E10" s="8" t="s">
        <v>25</v>
      </c>
      <c r="F10" s="7" t="s">
        <v>107</v>
      </c>
      <c r="G10" s="25">
        <f t="shared" si="0"/>
        <v>1</v>
      </c>
      <c r="H10" s="26">
        <f ca="1">IFERROR(__xludf.DUMMYFUNCTION("IFERROR(AVERAGE(FILTER(J10:ZZ10/J$4:ZZ$4, J10:ZZ10&lt;&gt;"""")), """")"),0.923076923076923)</f>
        <v>0.92307692307692302</v>
      </c>
      <c r="I10" s="27" t="s">
        <v>21</v>
      </c>
      <c r="J10" s="28"/>
      <c r="K10" s="28"/>
      <c r="L10" s="28">
        <v>36</v>
      </c>
      <c r="M10" s="28"/>
      <c r="N10" s="28"/>
      <c r="O10" s="28"/>
      <c r="P10" s="28"/>
      <c r="Q10" s="29"/>
      <c r="R10" s="29"/>
      <c r="S10" s="29"/>
      <c r="T10" s="29"/>
      <c r="U10" s="29"/>
      <c r="V10" s="29"/>
      <c r="W10" s="29"/>
      <c r="X10" s="28"/>
      <c r="Y10" s="28"/>
      <c r="Z10" s="28"/>
      <c r="AA10" s="28"/>
      <c r="AB10" s="28"/>
      <c r="AC10" s="28"/>
      <c r="AD10" s="28"/>
      <c r="AE10" s="29"/>
      <c r="AF10" s="29"/>
      <c r="AG10" s="29"/>
      <c r="AH10" s="29"/>
      <c r="AI10" s="29"/>
      <c r="AJ10" s="29"/>
      <c r="AK10" s="29"/>
      <c r="AL10" s="28"/>
      <c r="AM10" s="28"/>
      <c r="AN10" s="28"/>
      <c r="AO10" s="28"/>
      <c r="AP10" s="28"/>
      <c r="AQ10" s="28"/>
      <c r="AR10" s="28"/>
      <c r="AS10" s="29"/>
      <c r="AT10" s="29"/>
      <c r="AU10" s="29"/>
      <c r="AV10" s="29"/>
      <c r="AW10" s="29"/>
      <c r="AX10" s="29"/>
      <c r="AY10" s="29"/>
      <c r="AZ10" s="28"/>
      <c r="BA10" s="28"/>
      <c r="BB10" s="28"/>
      <c r="BC10" s="28"/>
      <c r="BD10" s="28"/>
      <c r="BE10" s="28"/>
      <c r="BF10" s="28"/>
      <c r="BG10" s="29"/>
      <c r="BH10" s="29"/>
      <c r="BI10" s="29"/>
      <c r="BJ10" s="29"/>
      <c r="BK10" s="29"/>
      <c r="BL10" s="29"/>
      <c r="BM10" s="29"/>
    </row>
    <row r="11" spans="1:65" ht="12.75" x14ac:dyDescent="0.2">
      <c r="A11" s="1"/>
      <c r="B11" s="7" t="s">
        <v>108</v>
      </c>
      <c r="C11" s="7" t="s">
        <v>24</v>
      </c>
      <c r="D11" s="7">
        <v>50057</v>
      </c>
      <c r="E11" s="8" t="s">
        <v>25</v>
      </c>
      <c r="F11" s="7" t="s">
        <v>75</v>
      </c>
      <c r="G11" s="25">
        <f t="shared" si="0"/>
        <v>12</v>
      </c>
      <c r="H11" s="26">
        <f ca="1">IFERROR(__xludf.DUMMYFUNCTION("IFERROR(AVERAGE(FILTER(J11:ZZ11/J$4:ZZ$4, J11:ZZ11&lt;&gt;"""")), """")"),0.915562245883453)</f>
        <v>0.91556224588345303</v>
      </c>
      <c r="I11" s="27" t="s">
        <v>21</v>
      </c>
      <c r="J11" s="28"/>
      <c r="K11" s="28"/>
      <c r="L11" s="28"/>
      <c r="M11" s="28"/>
      <c r="N11" s="28"/>
      <c r="O11" s="28"/>
      <c r="P11" s="28"/>
      <c r="Q11" s="29"/>
      <c r="R11" s="29"/>
      <c r="S11" s="29"/>
      <c r="T11" s="29"/>
      <c r="U11" s="29"/>
      <c r="V11" s="29">
        <v>30</v>
      </c>
      <c r="W11" s="29">
        <v>30</v>
      </c>
      <c r="X11" s="28">
        <v>39</v>
      </c>
      <c r="Y11" s="28"/>
      <c r="Z11" s="28">
        <v>26</v>
      </c>
      <c r="AA11" s="28">
        <v>37</v>
      </c>
      <c r="AB11" s="28"/>
      <c r="AC11" s="28">
        <v>31</v>
      </c>
      <c r="AD11" s="28"/>
      <c r="AE11" s="29">
        <v>33</v>
      </c>
      <c r="AF11" s="29"/>
      <c r="AG11" s="29">
        <v>26</v>
      </c>
      <c r="AH11" s="29">
        <v>40</v>
      </c>
      <c r="AI11" s="29"/>
      <c r="AJ11" s="29"/>
      <c r="AK11" s="29"/>
      <c r="AL11" s="28"/>
      <c r="AM11" s="28">
        <v>35</v>
      </c>
      <c r="AN11" s="28">
        <v>39</v>
      </c>
      <c r="AO11" s="28"/>
      <c r="AP11" s="28"/>
      <c r="AQ11" s="28">
        <v>34</v>
      </c>
      <c r="AR11" s="28"/>
      <c r="AS11" s="29"/>
      <c r="AT11" s="29"/>
      <c r="AU11" s="29"/>
      <c r="AV11" s="29"/>
      <c r="AW11" s="29"/>
      <c r="AX11" s="29"/>
      <c r="AY11" s="29"/>
      <c r="AZ11" s="28"/>
      <c r="BA11" s="28"/>
      <c r="BB11" s="28"/>
      <c r="BC11" s="28"/>
      <c r="BD11" s="28"/>
      <c r="BE11" s="28"/>
      <c r="BF11" s="28"/>
      <c r="BG11" s="29"/>
      <c r="BH11" s="29"/>
      <c r="BI11" s="29"/>
      <c r="BJ11" s="29"/>
      <c r="BK11" s="29"/>
      <c r="BL11" s="29"/>
      <c r="BM11" s="29"/>
    </row>
    <row r="12" spans="1:65" ht="12.75" x14ac:dyDescent="0.2">
      <c r="A12" s="1"/>
      <c r="B12" s="7" t="s">
        <v>109</v>
      </c>
      <c r="C12" s="7" t="s">
        <v>40</v>
      </c>
      <c r="D12" s="7">
        <v>51055</v>
      </c>
      <c r="E12" s="8" t="s">
        <v>25</v>
      </c>
      <c r="F12" s="7" t="s">
        <v>36</v>
      </c>
      <c r="G12" s="25">
        <f t="shared" si="0"/>
        <v>12</v>
      </c>
      <c r="H12" s="26">
        <f ca="1">IFERROR(__xludf.DUMMYFUNCTION("IFERROR(AVERAGE(FILTER(J12:ZZ12/J$4:ZZ$4, J12:ZZ12&lt;&gt;"""")), """")"),0.908758954153691)</f>
        <v>0.90875895415369101</v>
      </c>
      <c r="I12" s="27" t="s">
        <v>21</v>
      </c>
      <c r="J12" s="28"/>
      <c r="K12" s="28"/>
      <c r="L12" s="28"/>
      <c r="M12" s="28"/>
      <c r="N12" s="28"/>
      <c r="O12" s="28"/>
      <c r="P12" s="28"/>
      <c r="Q12" s="29"/>
      <c r="R12" s="29"/>
      <c r="S12" s="29"/>
      <c r="T12" s="29"/>
      <c r="U12" s="29"/>
      <c r="V12" s="29"/>
      <c r="W12" s="29">
        <v>35</v>
      </c>
      <c r="X12" s="28">
        <v>33</v>
      </c>
      <c r="Y12" s="28">
        <v>33</v>
      </c>
      <c r="Z12" s="28"/>
      <c r="AA12" s="28">
        <v>38</v>
      </c>
      <c r="AB12" s="28">
        <v>30</v>
      </c>
      <c r="AC12" s="28"/>
      <c r="AD12" s="28"/>
      <c r="AE12" s="29"/>
      <c r="AF12" s="29">
        <v>32</v>
      </c>
      <c r="AG12" s="29">
        <v>26</v>
      </c>
      <c r="AH12" s="29">
        <v>38</v>
      </c>
      <c r="AI12" s="29"/>
      <c r="AJ12" s="29">
        <v>33</v>
      </c>
      <c r="AK12" s="29"/>
      <c r="AL12" s="28">
        <v>35</v>
      </c>
      <c r="AM12" s="28"/>
      <c r="AN12" s="28">
        <v>35</v>
      </c>
      <c r="AO12" s="28"/>
      <c r="AP12" s="28"/>
      <c r="AQ12" s="28">
        <v>36</v>
      </c>
      <c r="AR12" s="28"/>
      <c r="AS12" s="29"/>
      <c r="AT12" s="29"/>
      <c r="AU12" s="29"/>
      <c r="AV12" s="29"/>
      <c r="AW12" s="29"/>
      <c r="AX12" s="29"/>
      <c r="AY12" s="29"/>
      <c r="AZ12" s="28"/>
      <c r="BA12" s="28"/>
      <c r="BB12" s="28"/>
      <c r="BC12" s="28"/>
      <c r="BD12" s="28"/>
      <c r="BE12" s="28"/>
      <c r="BF12" s="28"/>
      <c r="BG12" s="29"/>
      <c r="BH12" s="29"/>
      <c r="BI12" s="29"/>
      <c r="BJ12" s="29"/>
      <c r="BK12" s="29"/>
      <c r="BL12" s="29"/>
      <c r="BM12" s="29"/>
    </row>
    <row r="13" spans="1:65" ht="12.75" x14ac:dyDescent="0.2">
      <c r="A13" s="1"/>
      <c r="B13" s="8" t="s">
        <v>110</v>
      </c>
      <c r="C13" s="8" t="s">
        <v>111</v>
      </c>
      <c r="D13" s="8">
        <v>51165</v>
      </c>
      <c r="E13" s="8" t="s">
        <v>25</v>
      </c>
      <c r="F13" s="8" t="s">
        <v>26</v>
      </c>
      <c r="G13" s="25">
        <f t="shared" si="0"/>
        <v>11</v>
      </c>
      <c r="H13" s="26">
        <f ca="1">IFERROR(__xludf.DUMMYFUNCTION("IFERROR(AVERAGE(FILTER(J13:ZZ13/J$4:ZZ$4, J13:ZZ13&lt;&gt;"""")), """")"),0.898747774704712)</f>
        <v>0.89874777470471201</v>
      </c>
      <c r="I13" s="27" t="s">
        <v>21</v>
      </c>
      <c r="J13" s="30"/>
      <c r="K13" s="30"/>
      <c r="L13" s="30"/>
      <c r="M13" s="30"/>
      <c r="N13" s="30"/>
      <c r="O13" s="30"/>
      <c r="P13" s="30"/>
      <c r="Q13" s="31"/>
      <c r="R13" s="31"/>
      <c r="S13" s="31"/>
      <c r="T13" s="31"/>
      <c r="U13" s="31"/>
      <c r="V13" s="31"/>
      <c r="W13" s="31">
        <v>35</v>
      </c>
      <c r="X13" s="30">
        <v>35</v>
      </c>
      <c r="Y13" s="30">
        <v>38</v>
      </c>
      <c r="Z13" s="30">
        <v>29</v>
      </c>
      <c r="AA13" s="30">
        <v>35</v>
      </c>
      <c r="AB13" s="30">
        <v>32</v>
      </c>
      <c r="AC13" s="30"/>
      <c r="AD13" s="30"/>
      <c r="AE13" s="31">
        <v>32</v>
      </c>
      <c r="AF13" s="31">
        <v>31</v>
      </c>
      <c r="AG13" s="31">
        <v>26</v>
      </c>
      <c r="AH13" s="31">
        <v>36</v>
      </c>
      <c r="AI13" s="31"/>
      <c r="AJ13" s="31"/>
      <c r="AK13" s="31"/>
      <c r="AL13" s="30"/>
      <c r="AM13" s="30"/>
      <c r="AN13" s="30">
        <v>33</v>
      </c>
      <c r="AO13" s="30"/>
      <c r="AP13" s="30"/>
      <c r="AQ13" s="30"/>
      <c r="AR13" s="30"/>
      <c r="AS13" s="31"/>
      <c r="AT13" s="31"/>
      <c r="AU13" s="31"/>
      <c r="AV13" s="31"/>
      <c r="AW13" s="31"/>
      <c r="AX13" s="31"/>
      <c r="AY13" s="31"/>
      <c r="AZ13" s="30"/>
      <c r="BA13" s="30"/>
      <c r="BB13" s="30"/>
      <c r="BC13" s="30"/>
      <c r="BD13" s="30"/>
      <c r="BE13" s="30"/>
      <c r="BF13" s="30"/>
      <c r="BG13" s="31"/>
      <c r="BH13" s="31"/>
      <c r="BI13" s="31"/>
      <c r="BJ13" s="31"/>
      <c r="BK13" s="31"/>
      <c r="BL13" s="31"/>
      <c r="BM13" s="31"/>
    </row>
    <row r="14" spans="1:65" ht="12.75" x14ac:dyDescent="0.2">
      <c r="A14" s="1"/>
      <c r="B14" s="8" t="s">
        <v>112</v>
      </c>
      <c r="C14" s="8" t="s">
        <v>113</v>
      </c>
      <c r="D14" s="8">
        <v>60006</v>
      </c>
      <c r="E14" s="8" t="s">
        <v>25</v>
      </c>
      <c r="F14" s="8" t="s">
        <v>114</v>
      </c>
      <c r="G14" s="25">
        <f t="shared" si="0"/>
        <v>1</v>
      </c>
      <c r="H14" s="26">
        <f ca="1">IFERROR(__xludf.DUMMYFUNCTION("IFERROR(AVERAGE(FILTER(J14:ZZ14/J$4:ZZ$4, J14:ZZ14&lt;&gt;"""")), """")"),0.897435897435897)</f>
        <v>0.89743589743589702</v>
      </c>
      <c r="I14" s="27" t="s">
        <v>21</v>
      </c>
      <c r="J14" s="30"/>
      <c r="K14" s="30"/>
      <c r="L14" s="30"/>
      <c r="M14" s="30"/>
      <c r="N14" s="30"/>
      <c r="O14" s="30"/>
      <c r="P14" s="30"/>
      <c r="Q14" s="31"/>
      <c r="R14" s="31"/>
      <c r="S14" s="31"/>
      <c r="T14" s="31"/>
      <c r="U14" s="31"/>
      <c r="V14" s="31"/>
      <c r="W14" s="31"/>
      <c r="X14" s="30"/>
      <c r="Y14" s="30"/>
      <c r="Z14" s="30"/>
      <c r="AA14" s="30"/>
      <c r="AB14" s="30"/>
      <c r="AC14" s="30"/>
      <c r="AD14" s="30"/>
      <c r="AE14" s="31"/>
      <c r="AF14" s="31"/>
      <c r="AG14" s="31"/>
      <c r="AH14" s="31"/>
      <c r="AI14" s="31"/>
      <c r="AJ14" s="31"/>
      <c r="AK14" s="31"/>
      <c r="AL14" s="30"/>
      <c r="AM14" s="30"/>
      <c r="AN14" s="30">
        <v>35</v>
      </c>
      <c r="AO14" s="30"/>
      <c r="AP14" s="30"/>
      <c r="AQ14" s="30"/>
      <c r="AR14" s="30"/>
      <c r="AS14" s="31"/>
      <c r="AT14" s="31"/>
      <c r="AU14" s="31"/>
      <c r="AV14" s="31"/>
      <c r="AW14" s="31"/>
      <c r="AX14" s="31"/>
      <c r="AY14" s="31"/>
      <c r="AZ14" s="30"/>
      <c r="BA14" s="30"/>
      <c r="BB14" s="30"/>
      <c r="BC14" s="30"/>
      <c r="BD14" s="30"/>
      <c r="BE14" s="30"/>
      <c r="BF14" s="30"/>
      <c r="BG14" s="31"/>
      <c r="BH14" s="31"/>
      <c r="BI14" s="31"/>
      <c r="BJ14" s="31"/>
      <c r="BK14" s="31"/>
      <c r="BL14" s="31"/>
      <c r="BM14" s="31"/>
    </row>
    <row r="15" spans="1:65" ht="12.75" x14ac:dyDescent="0.2">
      <c r="A15" s="1"/>
      <c r="B15" s="8" t="s">
        <v>115</v>
      </c>
      <c r="C15" s="8" t="s">
        <v>116</v>
      </c>
      <c r="D15" s="8">
        <v>51097</v>
      </c>
      <c r="E15" s="8" t="s">
        <v>25</v>
      </c>
      <c r="F15" s="8" t="s">
        <v>26</v>
      </c>
      <c r="G15" s="25">
        <f t="shared" si="0"/>
        <v>12</v>
      </c>
      <c r="H15" s="26">
        <f ca="1">IFERROR(__xludf.DUMMYFUNCTION("IFERROR(AVERAGE(FILTER(J15:ZZ15/J$4:ZZ$4, J15:ZZ15&lt;&gt;"""")), """")"),0.886070176772264)</f>
        <v>0.88607017677226396</v>
      </c>
      <c r="I15" s="27" t="s">
        <v>21</v>
      </c>
      <c r="J15" s="30"/>
      <c r="K15" s="30"/>
      <c r="L15" s="30"/>
      <c r="M15" s="30"/>
      <c r="N15" s="30"/>
      <c r="O15" s="30"/>
      <c r="P15" s="30"/>
      <c r="Q15" s="31"/>
      <c r="R15" s="31"/>
      <c r="S15" s="31"/>
      <c r="T15" s="31"/>
      <c r="U15" s="31"/>
      <c r="V15" s="31"/>
      <c r="W15" s="31"/>
      <c r="X15" s="30"/>
      <c r="Y15" s="30"/>
      <c r="Z15" s="30"/>
      <c r="AA15" s="30"/>
      <c r="AB15" s="30"/>
      <c r="AC15" s="30">
        <v>27</v>
      </c>
      <c r="AD15" s="30"/>
      <c r="AE15" s="31">
        <v>33</v>
      </c>
      <c r="AF15" s="31">
        <v>28</v>
      </c>
      <c r="AG15" s="31">
        <v>21</v>
      </c>
      <c r="AH15" s="31">
        <v>38</v>
      </c>
      <c r="AI15" s="31"/>
      <c r="AJ15" s="31">
        <v>38</v>
      </c>
      <c r="AK15" s="31"/>
      <c r="AL15" s="30">
        <v>33</v>
      </c>
      <c r="AM15" s="30">
        <v>30</v>
      </c>
      <c r="AN15" s="30">
        <v>37</v>
      </c>
      <c r="AO15" s="30">
        <v>29</v>
      </c>
      <c r="AP15" s="30">
        <v>36</v>
      </c>
      <c r="AQ15" s="30">
        <v>31</v>
      </c>
      <c r="AR15" s="30"/>
      <c r="AS15" s="31"/>
      <c r="AT15" s="31"/>
      <c r="AU15" s="31"/>
      <c r="AV15" s="31"/>
      <c r="AW15" s="31"/>
      <c r="AX15" s="31"/>
      <c r="AY15" s="31"/>
      <c r="AZ15" s="30"/>
      <c r="BA15" s="30"/>
      <c r="BB15" s="30"/>
      <c r="BC15" s="30"/>
      <c r="BD15" s="30"/>
      <c r="BE15" s="30"/>
      <c r="BF15" s="30"/>
      <c r="BG15" s="31"/>
      <c r="BH15" s="31"/>
      <c r="BI15" s="31"/>
      <c r="BJ15" s="31"/>
      <c r="BK15" s="31"/>
      <c r="BL15" s="31"/>
      <c r="BM15" s="31"/>
    </row>
    <row r="16" spans="1:65" ht="12.75" x14ac:dyDescent="0.2">
      <c r="A16" s="1"/>
      <c r="B16" s="7" t="s">
        <v>117</v>
      </c>
      <c r="C16" s="7" t="s">
        <v>51</v>
      </c>
      <c r="D16" s="7">
        <v>50023</v>
      </c>
      <c r="E16" s="8" t="s">
        <v>25</v>
      </c>
      <c r="F16" s="7" t="s">
        <v>41</v>
      </c>
      <c r="G16" s="25">
        <f t="shared" si="0"/>
        <v>2</v>
      </c>
      <c r="H16" s="26">
        <f ca="1">IFERROR(__xludf.DUMMYFUNCTION("IFERROR(AVERAGE(FILTER(J16:ZZ16/J$4:ZZ$4, J16:ZZ16&lt;&gt;"""")), """")"),0.877073906485671)</f>
        <v>0.87707390648567096</v>
      </c>
      <c r="I16" s="27" t="s">
        <v>21</v>
      </c>
      <c r="J16" s="28"/>
      <c r="K16" s="28"/>
      <c r="L16" s="28"/>
      <c r="M16" s="28"/>
      <c r="N16" s="28"/>
      <c r="O16" s="28"/>
      <c r="P16" s="28"/>
      <c r="Q16" s="29">
        <v>30</v>
      </c>
      <c r="R16" s="29"/>
      <c r="S16" s="29"/>
      <c r="T16" s="29"/>
      <c r="U16" s="29"/>
      <c r="V16" s="29"/>
      <c r="W16" s="29"/>
      <c r="X16" s="28"/>
      <c r="Y16" s="28"/>
      <c r="Z16" s="28"/>
      <c r="AA16" s="28"/>
      <c r="AB16" s="28"/>
      <c r="AC16" s="28"/>
      <c r="AD16" s="28"/>
      <c r="AE16" s="29"/>
      <c r="AF16" s="29"/>
      <c r="AG16" s="29"/>
      <c r="AH16" s="29"/>
      <c r="AI16" s="29"/>
      <c r="AJ16" s="29"/>
      <c r="AK16" s="29"/>
      <c r="AL16" s="28"/>
      <c r="AM16" s="28"/>
      <c r="AN16" s="28">
        <v>34</v>
      </c>
      <c r="AO16" s="28"/>
      <c r="AP16" s="28"/>
      <c r="AQ16" s="28"/>
      <c r="AR16" s="28"/>
      <c r="AS16" s="29"/>
      <c r="AT16" s="29"/>
      <c r="AU16" s="29"/>
      <c r="AV16" s="29"/>
      <c r="AW16" s="29"/>
      <c r="AX16" s="29"/>
      <c r="AY16" s="29"/>
      <c r="AZ16" s="28"/>
      <c r="BA16" s="28"/>
      <c r="BB16" s="28"/>
      <c r="BC16" s="28"/>
      <c r="BD16" s="28"/>
      <c r="BE16" s="28"/>
      <c r="BF16" s="28"/>
      <c r="BG16" s="29"/>
      <c r="BH16" s="29"/>
      <c r="BI16" s="29"/>
      <c r="BJ16" s="29"/>
      <c r="BK16" s="29"/>
      <c r="BL16" s="29"/>
      <c r="BM16" s="29"/>
    </row>
    <row r="17" spans="1:65" ht="12.75" x14ac:dyDescent="0.2">
      <c r="A17" s="1"/>
      <c r="B17" s="7" t="s">
        <v>23</v>
      </c>
      <c r="C17" s="7" t="s">
        <v>24</v>
      </c>
      <c r="D17" s="7">
        <v>50134</v>
      </c>
      <c r="E17" s="8" t="s">
        <v>25</v>
      </c>
      <c r="F17" s="7" t="s">
        <v>26</v>
      </c>
      <c r="G17" s="25">
        <f t="shared" si="0"/>
        <v>12</v>
      </c>
      <c r="H17" s="26">
        <f ca="1">IFERROR(__xludf.DUMMYFUNCTION("IFERROR(AVERAGE(FILTER(J17:ZZ17/J$4:ZZ$4, J17:ZZ17&lt;&gt;"""")), """")"),0.879168545329411)</f>
        <v>0.87916854532941102</v>
      </c>
      <c r="I17" s="27" t="s">
        <v>21</v>
      </c>
      <c r="J17" s="28"/>
      <c r="K17" s="28"/>
      <c r="L17" s="28"/>
      <c r="M17" s="28"/>
      <c r="N17" s="28"/>
      <c r="O17" s="28"/>
      <c r="P17" s="28"/>
      <c r="Q17" s="29"/>
      <c r="R17" s="29"/>
      <c r="S17" s="29"/>
      <c r="T17" s="29"/>
      <c r="U17" s="29"/>
      <c r="V17" s="29"/>
      <c r="W17" s="29"/>
      <c r="X17" s="28"/>
      <c r="Y17" s="28"/>
      <c r="Z17" s="28"/>
      <c r="AA17" s="28"/>
      <c r="AB17" s="28"/>
      <c r="AC17" s="28"/>
      <c r="AD17" s="28"/>
      <c r="AE17" s="29">
        <v>31</v>
      </c>
      <c r="AF17" s="29">
        <v>34</v>
      </c>
      <c r="AG17" s="29">
        <v>26</v>
      </c>
      <c r="AH17" s="29">
        <v>37</v>
      </c>
      <c r="AI17" s="29">
        <v>29</v>
      </c>
      <c r="AJ17" s="29">
        <v>30</v>
      </c>
      <c r="AK17" s="29"/>
      <c r="AL17" s="28">
        <v>28</v>
      </c>
      <c r="AM17" s="28"/>
      <c r="AN17" s="28">
        <v>34</v>
      </c>
      <c r="AO17" s="28">
        <v>26</v>
      </c>
      <c r="AP17" s="28">
        <v>32</v>
      </c>
      <c r="AQ17" s="28">
        <v>30</v>
      </c>
      <c r="AR17" s="28"/>
      <c r="AS17" s="29">
        <v>35</v>
      </c>
      <c r="AT17" s="29"/>
      <c r="AU17" s="29"/>
      <c r="AV17" s="29"/>
      <c r="AW17" s="29"/>
      <c r="AX17" s="29"/>
      <c r="AY17" s="29"/>
      <c r="AZ17" s="28"/>
      <c r="BA17" s="28"/>
      <c r="BB17" s="28"/>
      <c r="BC17" s="28"/>
      <c r="BD17" s="28"/>
      <c r="BE17" s="28"/>
      <c r="BF17" s="28"/>
      <c r="BG17" s="29"/>
      <c r="BH17" s="29"/>
      <c r="BI17" s="29"/>
      <c r="BJ17" s="29"/>
      <c r="BK17" s="29"/>
      <c r="BL17" s="29"/>
      <c r="BM17" s="29"/>
    </row>
    <row r="18" spans="1:65" ht="12.75" x14ac:dyDescent="0.2">
      <c r="A18" s="1"/>
      <c r="B18" s="8" t="s">
        <v>110</v>
      </c>
      <c r="C18" s="8" t="s">
        <v>118</v>
      </c>
      <c r="D18" s="8">
        <v>60532</v>
      </c>
      <c r="E18" s="8" t="s">
        <v>25</v>
      </c>
      <c r="F18" s="8" t="s">
        <v>26</v>
      </c>
      <c r="G18" s="25">
        <f t="shared" si="0"/>
        <v>11</v>
      </c>
      <c r="H18" s="26">
        <f ca="1">IFERROR(__xludf.DUMMYFUNCTION("IFERROR(AVERAGE(FILTER(J18:ZZ18/J$4:ZZ$4, J18:ZZ18&lt;&gt;"""")), """")"),0.876288429307005)</f>
        <v>0.87628842930700501</v>
      </c>
      <c r="I18" s="27" t="s">
        <v>21</v>
      </c>
      <c r="J18" s="30">
        <v>32</v>
      </c>
      <c r="K18" s="30">
        <v>33</v>
      </c>
      <c r="L18" s="30">
        <v>38</v>
      </c>
      <c r="M18" s="30"/>
      <c r="N18" s="30">
        <v>35</v>
      </c>
      <c r="O18" s="30"/>
      <c r="P18" s="30"/>
      <c r="Q18" s="31"/>
      <c r="R18" s="31"/>
      <c r="S18" s="31"/>
      <c r="T18" s="31"/>
      <c r="U18" s="31"/>
      <c r="V18" s="31"/>
      <c r="W18" s="31"/>
      <c r="X18" s="30">
        <v>33</v>
      </c>
      <c r="Y18" s="30"/>
      <c r="Z18" s="30"/>
      <c r="AA18" s="30"/>
      <c r="AB18" s="30">
        <v>30</v>
      </c>
      <c r="AC18" s="30">
        <v>27</v>
      </c>
      <c r="AD18" s="30"/>
      <c r="AE18" s="31"/>
      <c r="AF18" s="31"/>
      <c r="AG18" s="31"/>
      <c r="AH18" s="31"/>
      <c r="AI18" s="31"/>
      <c r="AJ18" s="31">
        <v>33</v>
      </c>
      <c r="AK18" s="31"/>
      <c r="AL18" s="30"/>
      <c r="AM18" s="30"/>
      <c r="AN18" s="30"/>
      <c r="AO18" s="30">
        <v>31</v>
      </c>
      <c r="AP18" s="30">
        <v>31</v>
      </c>
      <c r="AQ18" s="30">
        <v>33</v>
      </c>
      <c r="AR18" s="30"/>
      <c r="AS18" s="31"/>
      <c r="AT18" s="31"/>
      <c r="AU18" s="31"/>
      <c r="AV18" s="31"/>
      <c r="AW18" s="31"/>
      <c r="AX18" s="31"/>
      <c r="AY18" s="31"/>
      <c r="AZ18" s="30"/>
      <c r="BA18" s="30"/>
      <c r="BB18" s="30"/>
      <c r="BC18" s="30"/>
      <c r="BD18" s="30"/>
      <c r="BE18" s="30"/>
      <c r="BF18" s="30"/>
      <c r="BG18" s="31"/>
      <c r="BH18" s="31"/>
      <c r="BI18" s="31"/>
      <c r="BJ18" s="31"/>
      <c r="BK18" s="31"/>
      <c r="BL18" s="31"/>
      <c r="BM18" s="31"/>
    </row>
    <row r="19" spans="1:65" ht="12.75" x14ac:dyDescent="0.2">
      <c r="A19" s="1"/>
      <c r="B19" s="32"/>
      <c r="C19" s="32"/>
      <c r="D19" s="32"/>
      <c r="E19" s="32"/>
      <c r="F19" s="32"/>
      <c r="G19" s="33"/>
      <c r="H19" s="34"/>
      <c r="I19" s="35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</row>
    <row r="20" spans="1:65" ht="12.75" x14ac:dyDescent="0.2">
      <c r="A20" s="1"/>
      <c r="B20" s="8" t="s">
        <v>119</v>
      </c>
      <c r="C20" s="8" t="s">
        <v>120</v>
      </c>
      <c r="D20" s="8">
        <v>51089</v>
      </c>
      <c r="E20" s="8" t="s">
        <v>29</v>
      </c>
      <c r="F20" s="8" t="s">
        <v>75</v>
      </c>
      <c r="G20" s="25">
        <f t="shared" ref="G20:G33" si="1">COUNT(J20:ZZ20)</f>
        <v>12</v>
      </c>
      <c r="H20" s="26">
        <f ca="1">IFERROR(__xludf.DUMMYFUNCTION("IFERROR(AVERAGE(FILTER(J20:ZZ20/J$4:ZZ$4, J20:ZZ20&lt;&gt;"""")), """")"),0.868426188927037)</f>
        <v>0.86842618892703705</v>
      </c>
      <c r="I20" s="27" t="s">
        <v>21</v>
      </c>
      <c r="J20" s="30"/>
      <c r="K20" s="30"/>
      <c r="L20" s="30"/>
      <c r="M20" s="30"/>
      <c r="N20" s="30"/>
      <c r="O20" s="30"/>
      <c r="P20" s="30"/>
      <c r="Q20" s="31"/>
      <c r="R20" s="31"/>
      <c r="S20" s="31"/>
      <c r="T20" s="31"/>
      <c r="U20" s="31"/>
      <c r="V20" s="31"/>
      <c r="W20" s="31"/>
      <c r="X20" s="30">
        <v>32</v>
      </c>
      <c r="Y20" s="30"/>
      <c r="Z20" s="30"/>
      <c r="AA20" s="30"/>
      <c r="AB20" s="30">
        <v>37</v>
      </c>
      <c r="AC20" s="30"/>
      <c r="AD20" s="30"/>
      <c r="AE20" s="31">
        <v>26</v>
      </c>
      <c r="AF20" s="31">
        <v>28</v>
      </c>
      <c r="AG20" s="31">
        <v>25</v>
      </c>
      <c r="AH20" s="31">
        <v>36</v>
      </c>
      <c r="AI20" s="31">
        <v>29</v>
      </c>
      <c r="AJ20" s="31">
        <v>35</v>
      </c>
      <c r="AK20" s="31"/>
      <c r="AL20" s="30">
        <v>31</v>
      </c>
      <c r="AM20" s="30">
        <v>31</v>
      </c>
      <c r="AN20" s="30"/>
      <c r="AO20" s="30"/>
      <c r="AP20" s="30">
        <v>32</v>
      </c>
      <c r="AQ20" s="30">
        <v>32</v>
      </c>
      <c r="AR20" s="30"/>
      <c r="AS20" s="31"/>
      <c r="AT20" s="31"/>
      <c r="AU20" s="31"/>
      <c r="AV20" s="31"/>
      <c r="AW20" s="31"/>
      <c r="AX20" s="31"/>
      <c r="AY20" s="31"/>
      <c r="AZ20" s="30"/>
      <c r="BA20" s="30"/>
      <c r="BB20" s="30"/>
      <c r="BC20" s="30"/>
      <c r="BD20" s="30"/>
      <c r="BE20" s="30"/>
      <c r="BF20" s="30"/>
      <c r="BG20" s="31"/>
      <c r="BH20" s="31"/>
      <c r="BI20" s="31"/>
      <c r="BJ20" s="31"/>
      <c r="BK20" s="31"/>
      <c r="BL20" s="31"/>
      <c r="BM20" s="31"/>
    </row>
    <row r="21" spans="1:65" ht="12.75" x14ac:dyDescent="0.2">
      <c r="A21" s="1"/>
      <c r="B21" s="8" t="s">
        <v>37</v>
      </c>
      <c r="C21" s="8" t="s">
        <v>38</v>
      </c>
      <c r="D21" s="8">
        <v>50911</v>
      </c>
      <c r="E21" s="8" t="s">
        <v>29</v>
      </c>
      <c r="F21" s="8" t="s">
        <v>36</v>
      </c>
      <c r="G21" s="25">
        <f t="shared" si="1"/>
        <v>12</v>
      </c>
      <c r="H21" s="26">
        <f ca="1">IFERROR(__xludf.DUMMYFUNCTION("IFERROR(AVERAGE(FILTER(J21:ZZ21/J$4:ZZ$4, J21:ZZ21&lt;&gt;"""")), """")"),0.858819960793645)</f>
        <v>0.85881996079364498</v>
      </c>
      <c r="I21" s="27" t="s">
        <v>21</v>
      </c>
      <c r="J21" s="30"/>
      <c r="K21" s="30"/>
      <c r="L21" s="30"/>
      <c r="M21" s="30"/>
      <c r="N21" s="30"/>
      <c r="O21" s="30"/>
      <c r="P21" s="30"/>
      <c r="Q21" s="31"/>
      <c r="R21" s="31"/>
      <c r="S21" s="31"/>
      <c r="T21" s="31"/>
      <c r="U21" s="31"/>
      <c r="V21" s="31"/>
      <c r="W21" s="31"/>
      <c r="X21" s="30"/>
      <c r="Y21" s="30">
        <v>31</v>
      </c>
      <c r="Z21" s="30"/>
      <c r="AA21" s="30"/>
      <c r="AB21" s="30">
        <v>28</v>
      </c>
      <c r="AC21" s="30"/>
      <c r="AD21" s="30"/>
      <c r="AE21" s="31"/>
      <c r="AF21" s="31">
        <v>31</v>
      </c>
      <c r="AG21" s="31">
        <v>23</v>
      </c>
      <c r="AH21" s="31">
        <v>36</v>
      </c>
      <c r="AI21" s="31"/>
      <c r="AJ21" s="31">
        <v>36</v>
      </c>
      <c r="AK21" s="31"/>
      <c r="AL21" s="30">
        <v>35</v>
      </c>
      <c r="AM21" s="30">
        <v>30</v>
      </c>
      <c r="AN21" s="30">
        <v>35</v>
      </c>
      <c r="AO21" s="30"/>
      <c r="AP21" s="30">
        <v>30</v>
      </c>
      <c r="AQ21" s="30">
        <v>30</v>
      </c>
      <c r="AR21" s="30"/>
      <c r="AS21" s="31">
        <v>33</v>
      </c>
      <c r="AT21" s="31"/>
      <c r="AU21" s="31"/>
      <c r="AV21" s="31"/>
      <c r="AW21" s="31"/>
      <c r="AX21" s="31"/>
      <c r="AY21" s="31"/>
      <c r="AZ21" s="30"/>
      <c r="BA21" s="30"/>
      <c r="BB21" s="30"/>
      <c r="BC21" s="30"/>
      <c r="BD21" s="30"/>
      <c r="BE21" s="30"/>
      <c r="BF21" s="30"/>
      <c r="BG21" s="31"/>
      <c r="BH21" s="31"/>
      <c r="BI21" s="31"/>
      <c r="BJ21" s="31"/>
      <c r="BK21" s="31"/>
      <c r="BL21" s="31"/>
      <c r="BM21" s="31"/>
    </row>
    <row r="22" spans="1:65" ht="12.75" x14ac:dyDescent="0.2">
      <c r="A22" s="1"/>
      <c r="B22" s="8" t="s">
        <v>121</v>
      </c>
      <c r="C22" s="8" t="s">
        <v>105</v>
      </c>
      <c r="D22" s="8">
        <v>51168</v>
      </c>
      <c r="E22" s="8" t="s">
        <v>29</v>
      </c>
      <c r="F22" s="8" t="s">
        <v>26</v>
      </c>
      <c r="G22" s="25">
        <f t="shared" si="1"/>
        <v>1</v>
      </c>
      <c r="H22" s="26">
        <f ca="1">IFERROR(__xludf.DUMMYFUNCTION("IFERROR(AVERAGE(FILTER(J22:ZZ22/J$4:ZZ$4, J22:ZZ22&lt;&gt;"""")), """")"),0.857142857142857)</f>
        <v>0.85714285714285698</v>
      </c>
      <c r="I22" s="27" t="s">
        <v>21</v>
      </c>
      <c r="J22" s="30"/>
      <c r="K22" s="30"/>
      <c r="L22" s="30"/>
      <c r="M22" s="30">
        <v>30</v>
      </c>
      <c r="N22" s="30"/>
      <c r="O22" s="30"/>
      <c r="P22" s="30"/>
      <c r="Q22" s="31"/>
      <c r="R22" s="31"/>
      <c r="S22" s="31"/>
      <c r="T22" s="31"/>
      <c r="U22" s="31"/>
      <c r="V22" s="31"/>
      <c r="W22" s="31"/>
      <c r="X22" s="30"/>
      <c r="Y22" s="30"/>
      <c r="Z22" s="30"/>
      <c r="AA22" s="30"/>
      <c r="AB22" s="30"/>
      <c r="AC22" s="30"/>
      <c r="AD22" s="30"/>
      <c r="AE22" s="31"/>
      <c r="AF22" s="31"/>
      <c r="AG22" s="31"/>
      <c r="AH22" s="31"/>
      <c r="AI22" s="31"/>
      <c r="AJ22" s="31"/>
      <c r="AK22" s="31"/>
      <c r="AL22" s="30"/>
      <c r="AM22" s="30"/>
      <c r="AN22" s="30"/>
      <c r="AO22" s="30"/>
      <c r="AP22" s="30"/>
      <c r="AQ22" s="30"/>
      <c r="AR22" s="30"/>
      <c r="AS22" s="31"/>
      <c r="AT22" s="31"/>
      <c r="AU22" s="31"/>
      <c r="AV22" s="31"/>
      <c r="AW22" s="31"/>
      <c r="AX22" s="31"/>
      <c r="AY22" s="31"/>
      <c r="AZ22" s="30"/>
      <c r="BA22" s="30"/>
      <c r="BB22" s="30"/>
      <c r="BC22" s="30"/>
      <c r="BD22" s="30"/>
      <c r="BE22" s="30"/>
      <c r="BF22" s="30"/>
      <c r="BG22" s="31"/>
      <c r="BH22" s="31"/>
      <c r="BI22" s="31"/>
      <c r="BJ22" s="31"/>
      <c r="BK22" s="31"/>
      <c r="BL22" s="31"/>
      <c r="BM22" s="31"/>
    </row>
    <row r="23" spans="1:65" ht="12.75" x14ac:dyDescent="0.2">
      <c r="A23" s="1"/>
      <c r="B23" s="8" t="s">
        <v>122</v>
      </c>
      <c r="C23" s="8" t="s">
        <v>123</v>
      </c>
      <c r="D23" s="8">
        <v>51095</v>
      </c>
      <c r="E23" s="8" t="s">
        <v>29</v>
      </c>
      <c r="F23" s="8" t="s">
        <v>26</v>
      </c>
      <c r="G23" s="25">
        <f t="shared" si="1"/>
        <v>12</v>
      </c>
      <c r="H23" s="26">
        <f ca="1">IFERROR(__xludf.DUMMYFUNCTION("IFERROR(AVERAGE(FILTER(J23:ZZ23/J$4:ZZ$4, J23:ZZ23&lt;&gt;"""")), """")"),0.854559382562977)</f>
        <v>0.85455938256297703</v>
      </c>
      <c r="I23" s="27" t="s">
        <v>21</v>
      </c>
      <c r="J23" s="30"/>
      <c r="K23" s="30"/>
      <c r="L23" s="30"/>
      <c r="M23" s="30"/>
      <c r="N23" s="30"/>
      <c r="O23" s="30"/>
      <c r="P23" s="30"/>
      <c r="Q23" s="31"/>
      <c r="R23" s="31"/>
      <c r="S23" s="31"/>
      <c r="T23" s="31"/>
      <c r="U23" s="31"/>
      <c r="V23" s="31"/>
      <c r="W23" s="31"/>
      <c r="X23" s="30"/>
      <c r="Y23" s="30"/>
      <c r="Z23" s="30"/>
      <c r="AA23" s="30"/>
      <c r="AB23" s="30"/>
      <c r="AC23" s="30">
        <v>23</v>
      </c>
      <c r="AD23" s="30"/>
      <c r="AE23" s="31">
        <v>35</v>
      </c>
      <c r="AF23" s="31">
        <v>28</v>
      </c>
      <c r="AG23" s="31">
        <v>24</v>
      </c>
      <c r="AH23" s="31">
        <v>34</v>
      </c>
      <c r="AI23" s="31">
        <v>31</v>
      </c>
      <c r="AJ23" s="31">
        <v>32</v>
      </c>
      <c r="AK23" s="31"/>
      <c r="AL23" s="30">
        <v>33</v>
      </c>
      <c r="AM23" s="30">
        <v>30</v>
      </c>
      <c r="AN23" s="30"/>
      <c r="AO23" s="30">
        <v>28</v>
      </c>
      <c r="AP23" s="30">
        <v>32</v>
      </c>
      <c r="AQ23" s="30">
        <v>28</v>
      </c>
      <c r="AR23" s="30"/>
      <c r="AS23" s="31"/>
      <c r="AT23" s="31"/>
      <c r="AU23" s="31"/>
      <c r="AV23" s="31"/>
      <c r="AW23" s="31"/>
      <c r="AX23" s="31"/>
      <c r="AY23" s="31"/>
      <c r="AZ23" s="30"/>
      <c r="BA23" s="30"/>
      <c r="BB23" s="30"/>
      <c r="BC23" s="30"/>
      <c r="BD23" s="30"/>
      <c r="BE23" s="30"/>
      <c r="BF23" s="30"/>
      <c r="BG23" s="31"/>
      <c r="BH23" s="31"/>
      <c r="BI23" s="31"/>
      <c r="BJ23" s="31"/>
      <c r="BK23" s="31"/>
      <c r="BL23" s="31"/>
      <c r="BM23" s="31"/>
    </row>
    <row r="24" spans="1:65" ht="12.75" x14ac:dyDescent="0.2">
      <c r="A24" s="1"/>
      <c r="B24" s="8" t="s">
        <v>35</v>
      </c>
      <c r="C24" s="8" t="s">
        <v>31</v>
      </c>
      <c r="D24" s="8">
        <v>50860</v>
      </c>
      <c r="E24" s="8" t="s">
        <v>29</v>
      </c>
      <c r="F24" s="8" t="s">
        <v>36</v>
      </c>
      <c r="G24" s="25">
        <f t="shared" si="1"/>
        <v>4</v>
      </c>
      <c r="H24" s="26">
        <f ca="1">IFERROR(__xludf.DUMMYFUNCTION("IFERROR(AVERAGE(FILTER(J24:ZZ24/J$4:ZZ$4, J24:ZZ24&lt;&gt;"""")), """")"),0.862049549549549)</f>
        <v>0.86204954954954904</v>
      </c>
      <c r="I24" s="27" t="s">
        <v>21</v>
      </c>
      <c r="J24" s="30"/>
      <c r="K24" s="30"/>
      <c r="L24" s="30"/>
      <c r="M24" s="30"/>
      <c r="N24" s="30"/>
      <c r="O24" s="30"/>
      <c r="P24" s="30"/>
      <c r="Q24" s="31"/>
      <c r="R24" s="31"/>
      <c r="S24" s="31"/>
      <c r="T24" s="31">
        <v>32</v>
      </c>
      <c r="U24" s="31">
        <v>31</v>
      </c>
      <c r="V24" s="31"/>
      <c r="W24" s="31"/>
      <c r="X24" s="30"/>
      <c r="Y24" s="30">
        <v>34</v>
      </c>
      <c r="Z24" s="30"/>
      <c r="AA24" s="30"/>
      <c r="AB24" s="30"/>
      <c r="AC24" s="30"/>
      <c r="AD24" s="30"/>
      <c r="AE24" s="31"/>
      <c r="AF24" s="31"/>
      <c r="AG24" s="31"/>
      <c r="AH24" s="31"/>
      <c r="AI24" s="31"/>
      <c r="AJ24" s="31"/>
      <c r="AK24" s="31"/>
      <c r="AL24" s="30"/>
      <c r="AM24" s="30"/>
      <c r="AN24" s="30"/>
      <c r="AO24" s="30"/>
      <c r="AP24" s="30"/>
      <c r="AQ24" s="30"/>
      <c r="AR24" s="30"/>
      <c r="AS24" s="31">
        <v>33</v>
      </c>
      <c r="AT24" s="31"/>
      <c r="AU24" s="31"/>
      <c r="AV24" s="31"/>
      <c r="AW24" s="31"/>
      <c r="AX24" s="31"/>
      <c r="AY24" s="31"/>
      <c r="AZ24" s="30"/>
      <c r="BA24" s="30"/>
      <c r="BB24" s="30"/>
      <c r="BC24" s="30"/>
      <c r="BD24" s="30"/>
      <c r="BE24" s="30"/>
      <c r="BF24" s="30"/>
      <c r="BG24" s="31"/>
      <c r="BH24" s="31"/>
      <c r="BI24" s="31"/>
      <c r="BJ24" s="31"/>
      <c r="BK24" s="31"/>
      <c r="BL24" s="31"/>
      <c r="BM24" s="31"/>
    </row>
    <row r="25" spans="1:65" ht="12.75" x14ac:dyDescent="0.2">
      <c r="A25" s="1"/>
      <c r="B25" s="8" t="s">
        <v>124</v>
      </c>
      <c r="C25" s="8" t="s">
        <v>125</v>
      </c>
      <c r="D25" s="8">
        <v>50641</v>
      </c>
      <c r="E25" s="8" t="s">
        <v>29</v>
      </c>
      <c r="F25" s="8" t="s">
        <v>26</v>
      </c>
      <c r="G25" s="25">
        <f t="shared" si="1"/>
        <v>5</v>
      </c>
      <c r="H25" s="26">
        <f ca="1">IFERROR(__xludf.DUMMYFUNCTION("IFERROR(AVERAGE(FILTER(J25:ZZ25/J$4:ZZ$4, J25:ZZ25&lt;&gt;"""")), """")"),0.833932575109045)</f>
        <v>0.83393257510904495</v>
      </c>
      <c r="I25" s="27" t="s">
        <v>21</v>
      </c>
      <c r="J25" s="30"/>
      <c r="K25" s="30"/>
      <c r="L25" s="30"/>
      <c r="M25" s="30"/>
      <c r="N25" s="30"/>
      <c r="O25" s="30"/>
      <c r="P25" s="30"/>
      <c r="Q25" s="31"/>
      <c r="R25" s="31"/>
      <c r="S25" s="31"/>
      <c r="T25" s="31"/>
      <c r="U25" s="31"/>
      <c r="V25" s="31"/>
      <c r="W25" s="31"/>
      <c r="X25" s="30">
        <v>35</v>
      </c>
      <c r="Y25" s="30">
        <v>33</v>
      </c>
      <c r="Z25" s="30">
        <v>33</v>
      </c>
      <c r="AA25" s="30"/>
      <c r="AB25" s="30">
        <v>31</v>
      </c>
      <c r="AC25" s="30">
        <v>20</v>
      </c>
      <c r="AD25" s="30"/>
      <c r="AE25" s="31"/>
      <c r="AF25" s="31"/>
      <c r="AG25" s="31"/>
      <c r="AH25" s="31"/>
      <c r="AI25" s="31"/>
      <c r="AJ25" s="31"/>
      <c r="AK25" s="31"/>
      <c r="AL25" s="30"/>
      <c r="AM25" s="30"/>
      <c r="AN25" s="30"/>
      <c r="AO25" s="30"/>
      <c r="AP25" s="30"/>
      <c r="AQ25" s="30"/>
      <c r="AR25" s="30"/>
      <c r="AS25" s="31"/>
      <c r="AT25" s="31"/>
      <c r="AU25" s="31"/>
      <c r="AV25" s="31"/>
      <c r="AW25" s="31"/>
      <c r="AX25" s="31"/>
      <c r="AY25" s="31"/>
      <c r="AZ25" s="30"/>
      <c r="BA25" s="30"/>
      <c r="BB25" s="30"/>
      <c r="BC25" s="30"/>
      <c r="BD25" s="30"/>
      <c r="BE25" s="30"/>
      <c r="BF25" s="30"/>
      <c r="BG25" s="31"/>
      <c r="BH25" s="31"/>
      <c r="BI25" s="31"/>
      <c r="BJ25" s="31"/>
      <c r="BK25" s="31"/>
      <c r="BL25" s="31"/>
      <c r="BM25" s="31"/>
    </row>
    <row r="26" spans="1:65" ht="12.75" x14ac:dyDescent="0.2">
      <c r="A26" s="1"/>
      <c r="B26" s="8" t="s">
        <v>30</v>
      </c>
      <c r="C26" s="8" t="s">
        <v>31</v>
      </c>
      <c r="D26" s="8">
        <v>51170</v>
      </c>
      <c r="E26" s="8" t="s">
        <v>29</v>
      </c>
      <c r="F26" s="8" t="s">
        <v>32</v>
      </c>
      <c r="G26" s="25">
        <f t="shared" si="1"/>
        <v>12</v>
      </c>
      <c r="H26" s="26">
        <f ca="1">IFERROR(__xludf.DUMMYFUNCTION("IFERROR(AVERAGE(FILTER(J26:ZZ26/J$4:ZZ$4, J26:ZZ26&lt;&gt;"""")), """")"),0.837114002529587)</f>
        <v>0.83711400252958701</v>
      </c>
      <c r="I26" s="27" t="s">
        <v>21</v>
      </c>
      <c r="J26" s="30"/>
      <c r="K26" s="30"/>
      <c r="L26" s="30"/>
      <c r="M26" s="30"/>
      <c r="N26" s="30"/>
      <c r="O26" s="30"/>
      <c r="P26" s="30"/>
      <c r="Q26" s="31"/>
      <c r="R26" s="31"/>
      <c r="S26" s="31"/>
      <c r="T26" s="31"/>
      <c r="U26" s="31"/>
      <c r="V26" s="31"/>
      <c r="W26" s="31"/>
      <c r="X26" s="30"/>
      <c r="Y26" s="30"/>
      <c r="Z26" s="30"/>
      <c r="AA26" s="30">
        <v>32</v>
      </c>
      <c r="AB26" s="30">
        <v>33</v>
      </c>
      <c r="AC26" s="30">
        <v>27</v>
      </c>
      <c r="AD26" s="30"/>
      <c r="AE26" s="31">
        <v>30</v>
      </c>
      <c r="AF26" s="31">
        <v>24</v>
      </c>
      <c r="AG26" s="31"/>
      <c r="AH26" s="31">
        <v>33</v>
      </c>
      <c r="AI26" s="31">
        <v>22</v>
      </c>
      <c r="AJ26" s="31">
        <v>34</v>
      </c>
      <c r="AK26" s="31"/>
      <c r="AL26" s="30">
        <v>34</v>
      </c>
      <c r="AM26" s="30">
        <v>32</v>
      </c>
      <c r="AN26" s="30"/>
      <c r="AO26" s="30"/>
      <c r="AP26" s="30"/>
      <c r="AQ26" s="30">
        <v>29</v>
      </c>
      <c r="AR26" s="30"/>
      <c r="AS26" s="31">
        <v>35</v>
      </c>
      <c r="AT26" s="31"/>
      <c r="AU26" s="31"/>
      <c r="AV26" s="31"/>
      <c r="AW26" s="31"/>
      <c r="AX26" s="31"/>
      <c r="AY26" s="31"/>
      <c r="AZ26" s="30"/>
      <c r="BA26" s="30"/>
      <c r="BB26" s="30"/>
      <c r="BC26" s="30"/>
      <c r="BD26" s="30"/>
      <c r="BE26" s="30"/>
      <c r="BF26" s="30"/>
      <c r="BG26" s="31"/>
      <c r="BH26" s="31"/>
      <c r="BI26" s="31"/>
      <c r="BJ26" s="31"/>
      <c r="BK26" s="31"/>
      <c r="BL26" s="31"/>
      <c r="BM26" s="31"/>
    </row>
    <row r="27" spans="1:65" ht="12.75" x14ac:dyDescent="0.2">
      <c r="A27" s="1"/>
      <c r="B27" s="8" t="s">
        <v>33</v>
      </c>
      <c r="C27" s="8" t="s">
        <v>34</v>
      </c>
      <c r="D27" s="8">
        <v>50863</v>
      </c>
      <c r="E27" s="8" t="s">
        <v>29</v>
      </c>
      <c r="F27" s="8" t="s">
        <v>32</v>
      </c>
      <c r="G27" s="25">
        <f t="shared" si="1"/>
        <v>12</v>
      </c>
      <c r="H27" s="26">
        <f ca="1">IFERROR(__xludf.DUMMYFUNCTION("IFERROR(AVERAGE(FILTER(J27:ZZ27/J$4:ZZ$4, J27:ZZ27&lt;&gt;"""")), """")"),0.824484497277366)</f>
        <v>0.82448449727736595</v>
      </c>
      <c r="I27" s="27" t="s">
        <v>21</v>
      </c>
      <c r="J27" s="30"/>
      <c r="K27" s="30"/>
      <c r="L27" s="30"/>
      <c r="M27" s="30"/>
      <c r="N27" s="30"/>
      <c r="O27" s="30"/>
      <c r="P27" s="30"/>
      <c r="Q27" s="31"/>
      <c r="R27" s="31"/>
      <c r="S27" s="31"/>
      <c r="T27" s="31"/>
      <c r="U27" s="31"/>
      <c r="V27" s="31"/>
      <c r="W27" s="31"/>
      <c r="X27" s="30"/>
      <c r="Y27" s="30"/>
      <c r="Z27" s="30"/>
      <c r="AA27" s="30"/>
      <c r="AB27" s="30">
        <v>30</v>
      </c>
      <c r="AC27" s="30"/>
      <c r="AD27" s="30"/>
      <c r="AE27" s="31">
        <v>28</v>
      </c>
      <c r="AF27" s="31">
        <v>28</v>
      </c>
      <c r="AG27" s="31">
        <v>24</v>
      </c>
      <c r="AH27" s="31">
        <v>38</v>
      </c>
      <c r="AI27" s="31">
        <v>26</v>
      </c>
      <c r="AJ27" s="31">
        <v>29</v>
      </c>
      <c r="AK27" s="31"/>
      <c r="AL27" s="30">
        <v>32</v>
      </c>
      <c r="AM27" s="30">
        <v>23</v>
      </c>
      <c r="AN27" s="30"/>
      <c r="AO27" s="30">
        <v>28</v>
      </c>
      <c r="AP27" s="30">
        <v>29</v>
      </c>
      <c r="AQ27" s="30"/>
      <c r="AR27" s="30"/>
      <c r="AS27" s="31">
        <v>33</v>
      </c>
      <c r="AT27" s="31"/>
      <c r="AU27" s="31"/>
      <c r="AV27" s="31"/>
      <c r="AW27" s="31"/>
      <c r="AX27" s="31"/>
      <c r="AY27" s="31"/>
      <c r="AZ27" s="30"/>
      <c r="BA27" s="30"/>
      <c r="BB27" s="30"/>
      <c r="BC27" s="30"/>
      <c r="BD27" s="30"/>
      <c r="BE27" s="30"/>
      <c r="BF27" s="30"/>
      <c r="BG27" s="31"/>
      <c r="BH27" s="31"/>
      <c r="BI27" s="31"/>
      <c r="BJ27" s="31"/>
      <c r="BK27" s="31"/>
      <c r="BL27" s="31"/>
      <c r="BM27" s="31"/>
    </row>
    <row r="28" spans="1:65" ht="12.75" x14ac:dyDescent="0.2">
      <c r="A28" s="1"/>
      <c r="B28" s="8" t="s">
        <v>27</v>
      </c>
      <c r="C28" s="8" t="s">
        <v>28</v>
      </c>
      <c r="D28" s="8">
        <v>51188</v>
      </c>
      <c r="E28" s="8" t="s">
        <v>29</v>
      </c>
      <c r="F28" s="8" t="s">
        <v>26</v>
      </c>
      <c r="G28" s="25">
        <f t="shared" si="1"/>
        <v>12</v>
      </c>
      <c r="H28" s="26">
        <f ca="1">IFERROR(__xludf.DUMMYFUNCTION("IFERROR(AVERAGE(FILTER(J28:ZZ28/J$4:ZZ$4, J28:ZZ28&lt;&gt;"""")), """")"),0.813746187674456)</f>
        <v>0.81374618767445595</v>
      </c>
      <c r="I28" s="27" t="s">
        <v>21</v>
      </c>
      <c r="J28" s="30"/>
      <c r="K28" s="30"/>
      <c r="L28" s="30"/>
      <c r="M28" s="30"/>
      <c r="N28" s="30"/>
      <c r="O28" s="30"/>
      <c r="P28" s="30"/>
      <c r="Q28" s="31"/>
      <c r="R28" s="31"/>
      <c r="S28" s="31"/>
      <c r="T28" s="31"/>
      <c r="U28" s="31"/>
      <c r="V28" s="31"/>
      <c r="W28" s="31"/>
      <c r="X28" s="30"/>
      <c r="Y28" s="30"/>
      <c r="Z28" s="30"/>
      <c r="AA28" s="30"/>
      <c r="AB28" s="30"/>
      <c r="AC28" s="30"/>
      <c r="AD28" s="30"/>
      <c r="AE28" s="31"/>
      <c r="AF28" s="31">
        <v>20</v>
      </c>
      <c r="AG28" s="31">
        <v>18</v>
      </c>
      <c r="AH28" s="31">
        <v>27</v>
      </c>
      <c r="AI28" s="31">
        <v>20</v>
      </c>
      <c r="AJ28" s="31">
        <v>35</v>
      </c>
      <c r="AK28" s="31"/>
      <c r="AL28" s="30">
        <v>36</v>
      </c>
      <c r="AM28" s="30">
        <v>33</v>
      </c>
      <c r="AN28" s="30">
        <v>34</v>
      </c>
      <c r="AO28" s="30">
        <v>25</v>
      </c>
      <c r="AP28" s="30">
        <v>31</v>
      </c>
      <c r="AQ28" s="30">
        <v>34</v>
      </c>
      <c r="AR28" s="30"/>
      <c r="AS28" s="31">
        <v>36</v>
      </c>
      <c r="AT28" s="31"/>
      <c r="AU28" s="31"/>
      <c r="AV28" s="31"/>
      <c r="AW28" s="31"/>
      <c r="AX28" s="31"/>
      <c r="AY28" s="31"/>
      <c r="AZ28" s="30"/>
      <c r="BA28" s="30"/>
      <c r="BB28" s="30"/>
      <c r="BC28" s="30"/>
      <c r="BD28" s="30"/>
      <c r="BE28" s="30"/>
      <c r="BF28" s="30"/>
      <c r="BG28" s="31"/>
      <c r="BH28" s="31"/>
      <c r="BI28" s="31"/>
      <c r="BJ28" s="31"/>
      <c r="BK28" s="31"/>
      <c r="BL28" s="31"/>
      <c r="BM28" s="31"/>
    </row>
    <row r="29" spans="1:65" ht="12.75" x14ac:dyDescent="0.2">
      <c r="A29" s="1"/>
      <c r="B29" s="8" t="s">
        <v>126</v>
      </c>
      <c r="C29" s="8" t="s">
        <v>127</v>
      </c>
      <c r="D29" s="8">
        <v>50661</v>
      </c>
      <c r="E29" s="8" t="s">
        <v>29</v>
      </c>
      <c r="F29" s="8" t="s">
        <v>75</v>
      </c>
      <c r="G29" s="25">
        <f t="shared" si="1"/>
        <v>5</v>
      </c>
      <c r="H29" s="26">
        <f ca="1">IFERROR(__xludf.DUMMYFUNCTION("IFERROR(AVERAGE(FILTER(J29:ZZ29/J$4:ZZ$4, J29:ZZ29&lt;&gt;"""")), """")"),0.796287826287826)</f>
        <v>0.79628782628782602</v>
      </c>
      <c r="I29" s="27" t="s">
        <v>21</v>
      </c>
      <c r="J29" s="30"/>
      <c r="K29" s="30"/>
      <c r="L29" s="30"/>
      <c r="M29" s="30"/>
      <c r="N29" s="30"/>
      <c r="O29" s="30"/>
      <c r="P29" s="30"/>
      <c r="Q29" s="31"/>
      <c r="R29" s="31"/>
      <c r="S29" s="31"/>
      <c r="T29" s="31"/>
      <c r="U29" s="31"/>
      <c r="V29" s="31"/>
      <c r="W29" s="31"/>
      <c r="X29" s="30"/>
      <c r="Y29" s="30">
        <v>28</v>
      </c>
      <c r="Z29" s="30"/>
      <c r="AA29" s="30">
        <v>34</v>
      </c>
      <c r="AB29" s="30">
        <v>27</v>
      </c>
      <c r="AC29" s="30"/>
      <c r="AD29" s="30"/>
      <c r="AE29" s="31"/>
      <c r="AF29" s="31"/>
      <c r="AG29" s="31"/>
      <c r="AH29" s="31"/>
      <c r="AI29" s="31"/>
      <c r="AJ29" s="31"/>
      <c r="AK29" s="31"/>
      <c r="AL29" s="30">
        <v>32</v>
      </c>
      <c r="AM29" s="30"/>
      <c r="AN29" s="30"/>
      <c r="AO29" s="30"/>
      <c r="AP29" s="30">
        <v>31</v>
      </c>
      <c r="AQ29" s="30"/>
      <c r="AR29" s="30"/>
      <c r="AS29" s="31"/>
      <c r="AT29" s="31"/>
      <c r="AU29" s="31"/>
      <c r="AV29" s="31"/>
      <c r="AW29" s="31"/>
      <c r="AX29" s="31"/>
      <c r="AY29" s="31"/>
      <c r="AZ29" s="30"/>
      <c r="BA29" s="30"/>
      <c r="BB29" s="30"/>
      <c r="BC29" s="30"/>
      <c r="BD29" s="30"/>
      <c r="BE29" s="30"/>
      <c r="BF29" s="30"/>
      <c r="BG29" s="31"/>
      <c r="BH29" s="31"/>
      <c r="BI29" s="31"/>
      <c r="BJ29" s="31"/>
      <c r="BK29" s="31"/>
      <c r="BL29" s="31"/>
      <c r="BM29" s="31"/>
    </row>
    <row r="30" spans="1:65" ht="12.75" x14ac:dyDescent="0.2">
      <c r="A30" s="1"/>
      <c r="B30" s="8" t="s">
        <v>128</v>
      </c>
      <c r="C30" s="8" t="s">
        <v>129</v>
      </c>
      <c r="D30" s="8">
        <v>51178</v>
      </c>
      <c r="E30" s="8" t="s">
        <v>29</v>
      </c>
      <c r="F30" s="8" t="s">
        <v>26</v>
      </c>
      <c r="G30" s="25">
        <f t="shared" si="1"/>
        <v>4</v>
      </c>
      <c r="H30" s="26">
        <f ca="1">IFERROR(__xludf.DUMMYFUNCTION("IFERROR(AVERAGE(FILTER(J30:ZZ30/J$4:ZZ$4, J30:ZZ30&lt;&gt;"""")), """")"),0.794510007745301)</f>
        <v>0.79451000774530101</v>
      </c>
      <c r="I30" s="27" t="s">
        <v>21</v>
      </c>
      <c r="J30" s="30"/>
      <c r="K30" s="30"/>
      <c r="L30" s="30">
        <v>35</v>
      </c>
      <c r="M30" s="30"/>
      <c r="N30" s="30"/>
      <c r="O30" s="30"/>
      <c r="P30" s="30"/>
      <c r="Q30" s="31">
        <v>27</v>
      </c>
      <c r="R30" s="31">
        <v>26</v>
      </c>
      <c r="S30" s="31"/>
      <c r="T30" s="31">
        <v>29</v>
      </c>
      <c r="U30" s="31"/>
      <c r="V30" s="31"/>
      <c r="W30" s="31"/>
      <c r="X30" s="30"/>
      <c r="Y30" s="30"/>
      <c r="Z30" s="30"/>
      <c r="AA30" s="30"/>
      <c r="AB30" s="30"/>
      <c r="AC30" s="30"/>
      <c r="AD30" s="30"/>
      <c r="AE30" s="31"/>
      <c r="AF30" s="31"/>
      <c r="AG30" s="31"/>
      <c r="AH30" s="31"/>
      <c r="AI30" s="31"/>
      <c r="AJ30" s="31"/>
      <c r="AK30" s="31"/>
      <c r="AL30" s="30"/>
      <c r="AM30" s="30"/>
      <c r="AN30" s="30"/>
      <c r="AO30" s="30"/>
      <c r="AP30" s="30"/>
      <c r="AQ30" s="30"/>
      <c r="AR30" s="30"/>
      <c r="AS30" s="31"/>
      <c r="AT30" s="31"/>
      <c r="AU30" s="31"/>
      <c r="AV30" s="31"/>
      <c r="AW30" s="31"/>
      <c r="AX30" s="31"/>
      <c r="AY30" s="31"/>
      <c r="AZ30" s="30"/>
      <c r="BA30" s="30"/>
      <c r="BB30" s="30"/>
      <c r="BC30" s="30"/>
      <c r="BD30" s="30"/>
      <c r="BE30" s="30"/>
      <c r="BF30" s="30"/>
      <c r="BG30" s="31"/>
      <c r="BH30" s="31"/>
      <c r="BI30" s="31"/>
      <c r="BJ30" s="31"/>
      <c r="BK30" s="31"/>
      <c r="BL30" s="31"/>
      <c r="BM30" s="31"/>
    </row>
    <row r="31" spans="1:65" ht="12.75" x14ac:dyDescent="0.2">
      <c r="A31" s="1"/>
      <c r="B31" s="8" t="s">
        <v>130</v>
      </c>
      <c r="C31" s="8" t="s">
        <v>131</v>
      </c>
      <c r="D31" s="8">
        <v>21887</v>
      </c>
      <c r="E31" s="8" t="s">
        <v>29</v>
      </c>
      <c r="F31" s="8" t="s">
        <v>132</v>
      </c>
      <c r="G31" s="25">
        <f t="shared" si="1"/>
        <v>1</v>
      </c>
      <c r="H31" s="26">
        <f ca="1">IFERROR(__xludf.DUMMYFUNCTION("IFERROR(AVERAGE(FILTER(J31:ZZ31/J$4:ZZ$4, J31:ZZ31&lt;&gt;"""")), """")"),0.794117647058823)</f>
        <v>0.79411764705882304</v>
      </c>
      <c r="I31" s="27" t="s">
        <v>21</v>
      </c>
      <c r="J31" s="30"/>
      <c r="K31" s="30"/>
      <c r="L31" s="30"/>
      <c r="M31" s="30"/>
      <c r="N31" s="30"/>
      <c r="O31" s="30"/>
      <c r="P31" s="30"/>
      <c r="Q31" s="31">
        <v>27</v>
      </c>
      <c r="R31" s="31"/>
      <c r="S31" s="31"/>
      <c r="T31" s="31"/>
      <c r="U31" s="31"/>
      <c r="V31" s="31"/>
      <c r="W31" s="31"/>
      <c r="X31" s="30"/>
      <c r="Y31" s="30"/>
      <c r="Z31" s="30"/>
      <c r="AA31" s="30"/>
      <c r="AB31" s="30"/>
      <c r="AC31" s="30"/>
      <c r="AD31" s="30"/>
      <c r="AE31" s="31"/>
      <c r="AF31" s="31"/>
      <c r="AG31" s="31"/>
      <c r="AH31" s="31"/>
      <c r="AI31" s="31"/>
      <c r="AJ31" s="31"/>
      <c r="AK31" s="31"/>
      <c r="AL31" s="30"/>
      <c r="AM31" s="30"/>
      <c r="AN31" s="30"/>
      <c r="AO31" s="30"/>
      <c r="AP31" s="30"/>
      <c r="AQ31" s="30"/>
      <c r="AR31" s="30"/>
      <c r="AS31" s="31"/>
      <c r="AT31" s="31"/>
      <c r="AU31" s="31"/>
      <c r="AV31" s="31"/>
      <c r="AW31" s="31"/>
      <c r="AX31" s="31"/>
      <c r="AY31" s="31"/>
      <c r="AZ31" s="30"/>
      <c r="BA31" s="30"/>
      <c r="BB31" s="30"/>
      <c r="BC31" s="30"/>
      <c r="BD31" s="30"/>
      <c r="BE31" s="30"/>
      <c r="BF31" s="30"/>
      <c r="BG31" s="31"/>
      <c r="BH31" s="31"/>
      <c r="BI31" s="31"/>
      <c r="BJ31" s="31"/>
      <c r="BK31" s="31"/>
      <c r="BL31" s="31"/>
      <c r="BM31" s="31"/>
    </row>
    <row r="32" spans="1:65" ht="12.75" x14ac:dyDescent="0.2">
      <c r="A32" s="1"/>
      <c r="B32" s="8" t="s">
        <v>133</v>
      </c>
      <c r="C32" s="8" t="s">
        <v>134</v>
      </c>
      <c r="D32" s="8">
        <v>50988</v>
      </c>
      <c r="E32" s="8" t="s">
        <v>29</v>
      </c>
      <c r="F32" s="8" t="s">
        <v>32</v>
      </c>
      <c r="G32" s="25">
        <f t="shared" si="1"/>
        <v>2</v>
      </c>
      <c r="H32" s="26">
        <f ca="1">IFERROR(__xludf.DUMMYFUNCTION("IFERROR(AVERAGE(FILTER(J32:ZZ32/J$4:ZZ$4, J32:ZZ32&lt;&gt;"""")), """")"),0.785067873303167)</f>
        <v>0.78506787330316696</v>
      </c>
      <c r="I32" s="27" t="s">
        <v>21</v>
      </c>
      <c r="J32" s="30"/>
      <c r="K32" s="30"/>
      <c r="L32" s="30"/>
      <c r="M32" s="30"/>
      <c r="N32" s="30"/>
      <c r="O32" s="30"/>
      <c r="P32" s="30"/>
      <c r="Q32" s="31"/>
      <c r="R32" s="31"/>
      <c r="S32" s="31"/>
      <c r="T32" s="31"/>
      <c r="U32" s="31"/>
      <c r="V32" s="31"/>
      <c r="W32" s="31"/>
      <c r="X32" s="30"/>
      <c r="Y32" s="30">
        <v>36</v>
      </c>
      <c r="Z32" s="30"/>
      <c r="AA32" s="30"/>
      <c r="AB32" s="30"/>
      <c r="AC32" s="30">
        <v>22</v>
      </c>
      <c r="AD32" s="30"/>
      <c r="AE32" s="31"/>
      <c r="AF32" s="31"/>
      <c r="AG32" s="31"/>
      <c r="AH32" s="31"/>
      <c r="AI32" s="31"/>
      <c r="AJ32" s="31"/>
      <c r="AK32" s="31"/>
      <c r="AL32" s="30"/>
      <c r="AM32" s="30"/>
      <c r="AN32" s="30"/>
      <c r="AO32" s="30"/>
      <c r="AP32" s="30"/>
      <c r="AQ32" s="30"/>
      <c r="AR32" s="30"/>
      <c r="AS32" s="31"/>
      <c r="AT32" s="31"/>
      <c r="AU32" s="31"/>
      <c r="AV32" s="31"/>
      <c r="AW32" s="31"/>
      <c r="AX32" s="31"/>
      <c r="AY32" s="31"/>
      <c r="AZ32" s="30"/>
      <c r="BA32" s="30"/>
      <c r="BB32" s="30"/>
      <c r="BC32" s="30"/>
      <c r="BD32" s="30"/>
      <c r="BE32" s="30"/>
      <c r="BF32" s="30"/>
      <c r="BG32" s="31"/>
      <c r="BH32" s="31"/>
      <c r="BI32" s="31"/>
      <c r="BJ32" s="31"/>
      <c r="BK32" s="31"/>
      <c r="BL32" s="31"/>
      <c r="BM32" s="31"/>
    </row>
    <row r="33" spans="1:65" ht="12.75" x14ac:dyDescent="0.2">
      <c r="A33" s="1"/>
      <c r="B33" s="8" t="s">
        <v>135</v>
      </c>
      <c r="C33" s="8" t="s">
        <v>121</v>
      </c>
      <c r="D33" s="8">
        <v>50830</v>
      </c>
      <c r="E33" s="8" t="s">
        <v>29</v>
      </c>
      <c r="F33" s="8" t="s">
        <v>32</v>
      </c>
      <c r="G33" s="25">
        <f t="shared" si="1"/>
        <v>11</v>
      </c>
      <c r="H33" s="26">
        <f ca="1">IFERROR(__xludf.DUMMYFUNCTION("IFERROR(AVERAGE(FILTER(J33:ZZ33/J$4:ZZ$4, J33:ZZ33&lt;&gt;"""")), """")"),0.78427819913888)</f>
        <v>0.78427819913887997</v>
      </c>
      <c r="I33" s="27" t="s">
        <v>21</v>
      </c>
      <c r="J33" s="30">
        <v>29</v>
      </c>
      <c r="K33" s="30"/>
      <c r="L33" s="30">
        <v>34</v>
      </c>
      <c r="M33" s="30"/>
      <c r="N33" s="30"/>
      <c r="O33" s="30">
        <v>33</v>
      </c>
      <c r="P33" s="30"/>
      <c r="Q33" s="31">
        <v>27</v>
      </c>
      <c r="R33" s="31">
        <v>31</v>
      </c>
      <c r="S33" s="31">
        <v>30</v>
      </c>
      <c r="T33" s="31">
        <v>27</v>
      </c>
      <c r="U33" s="31"/>
      <c r="V33" s="31"/>
      <c r="W33" s="31"/>
      <c r="X33" s="30">
        <v>27</v>
      </c>
      <c r="Y33" s="30">
        <v>36</v>
      </c>
      <c r="Z33" s="30"/>
      <c r="AA33" s="30">
        <v>28</v>
      </c>
      <c r="AB33" s="30"/>
      <c r="AC33" s="30"/>
      <c r="AD33" s="30"/>
      <c r="AE33" s="31">
        <v>23</v>
      </c>
      <c r="AF33" s="31"/>
      <c r="AG33" s="31"/>
      <c r="AH33" s="31"/>
      <c r="AI33" s="31"/>
      <c r="AJ33" s="31"/>
      <c r="AK33" s="31"/>
      <c r="AL33" s="30"/>
      <c r="AM33" s="30"/>
      <c r="AN33" s="30"/>
      <c r="AO33" s="30"/>
      <c r="AP33" s="30"/>
      <c r="AQ33" s="30"/>
      <c r="AR33" s="30"/>
      <c r="AS33" s="31"/>
      <c r="AT33" s="31"/>
      <c r="AU33" s="31"/>
      <c r="AV33" s="31"/>
      <c r="AW33" s="31"/>
      <c r="AX33" s="31"/>
      <c r="AY33" s="31"/>
      <c r="AZ33" s="30"/>
      <c r="BA33" s="30"/>
      <c r="BB33" s="30"/>
      <c r="BC33" s="30"/>
      <c r="BD33" s="30"/>
      <c r="BE33" s="30"/>
      <c r="BF33" s="30"/>
      <c r="BG33" s="31"/>
      <c r="BH33" s="31"/>
      <c r="BI33" s="31"/>
      <c r="BJ33" s="31"/>
      <c r="BK33" s="31"/>
      <c r="BL33" s="31"/>
      <c r="BM33" s="31"/>
    </row>
    <row r="34" spans="1:65" ht="12.75" x14ac:dyDescent="0.2">
      <c r="A34" s="1"/>
      <c r="B34" s="32"/>
      <c r="C34" s="32"/>
      <c r="D34" s="32"/>
      <c r="E34" s="32"/>
      <c r="F34" s="32"/>
      <c r="G34" s="33"/>
      <c r="H34" s="34"/>
      <c r="I34" s="35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</row>
    <row r="35" spans="1:65" ht="12.75" x14ac:dyDescent="0.2">
      <c r="A35" s="1"/>
      <c r="B35" s="8" t="s">
        <v>136</v>
      </c>
      <c r="C35" s="8" t="s">
        <v>74</v>
      </c>
      <c r="D35" s="8">
        <v>50919</v>
      </c>
      <c r="E35" s="8" t="s">
        <v>44</v>
      </c>
      <c r="F35" s="8" t="s">
        <v>75</v>
      </c>
      <c r="G35" s="25">
        <f t="shared" ref="G35:G54" si="2">COUNT(J35:ZZ35)</f>
        <v>12</v>
      </c>
      <c r="H35" s="26">
        <f ca="1">IFERROR(__xludf.DUMMYFUNCTION("IFERROR(AVERAGE(FILTER(J35:ZZ35/J$4:ZZ$4, J35:ZZ35&lt;&gt;"""")), """")"),0.77589458869295)</f>
        <v>0.77589458869295003</v>
      </c>
      <c r="I35" s="27" t="s">
        <v>21</v>
      </c>
      <c r="J35" s="30"/>
      <c r="K35" s="30"/>
      <c r="L35" s="30"/>
      <c r="M35" s="30"/>
      <c r="N35" s="30"/>
      <c r="O35" s="30">
        <v>33</v>
      </c>
      <c r="P35" s="30"/>
      <c r="Q35" s="31">
        <v>29</v>
      </c>
      <c r="R35" s="31">
        <v>27</v>
      </c>
      <c r="S35" s="31">
        <v>28</v>
      </c>
      <c r="T35" s="31">
        <v>29</v>
      </c>
      <c r="U35" s="31">
        <v>33</v>
      </c>
      <c r="V35" s="31">
        <v>27</v>
      </c>
      <c r="W35" s="31">
        <v>31</v>
      </c>
      <c r="X35" s="30"/>
      <c r="Y35" s="30"/>
      <c r="Z35" s="30"/>
      <c r="AA35" s="30"/>
      <c r="AB35" s="30"/>
      <c r="AC35" s="30"/>
      <c r="AD35" s="30"/>
      <c r="AE35" s="31">
        <v>28</v>
      </c>
      <c r="AF35" s="31"/>
      <c r="AG35" s="31">
        <v>22</v>
      </c>
      <c r="AH35" s="31"/>
      <c r="AI35" s="31">
        <v>21</v>
      </c>
      <c r="AJ35" s="31">
        <v>26</v>
      </c>
      <c r="AK35" s="31"/>
      <c r="AL35" s="30"/>
      <c r="AM35" s="30"/>
      <c r="AN35" s="30"/>
      <c r="AO35" s="30"/>
      <c r="AP35" s="30"/>
      <c r="AQ35" s="30"/>
      <c r="AR35" s="30"/>
      <c r="AS35" s="31"/>
      <c r="AT35" s="31"/>
      <c r="AU35" s="31"/>
      <c r="AV35" s="31"/>
      <c r="AW35" s="31"/>
      <c r="AX35" s="31"/>
      <c r="AY35" s="31"/>
      <c r="AZ35" s="30"/>
      <c r="BA35" s="30"/>
      <c r="BB35" s="30"/>
      <c r="BC35" s="30"/>
      <c r="BD35" s="30"/>
      <c r="BE35" s="30"/>
      <c r="BF35" s="30"/>
      <c r="BG35" s="31"/>
      <c r="BH35" s="31"/>
      <c r="BI35" s="31"/>
      <c r="BJ35" s="31"/>
      <c r="BK35" s="31"/>
      <c r="BL35" s="31"/>
      <c r="BM35" s="31"/>
    </row>
    <row r="36" spans="1:65" ht="12.75" x14ac:dyDescent="0.2">
      <c r="A36" s="1"/>
      <c r="B36" s="8" t="s">
        <v>137</v>
      </c>
      <c r="C36" s="8" t="s">
        <v>138</v>
      </c>
      <c r="D36" s="8">
        <v>50094</v>
      </c>
      <c r="E36" s="8" t="s">
        <v>44</v>
      </c>
      <c r="F36" s="8" t="s">
        <v>32</v>
      </c>
      <c r="G36" s="25">
        <f t="shared" si="2"/>
        <v>2</v>
      </c>
      <c r="H36" s="26">
        <f ca="1">IFERROR(__xludf.DUMMYFUNCTION("IFERROR(AVERAGE(FILTER(J36:ZZ36/J$4:ZZ$4, J36:ZZ36&lt;&gt;"""")), """")"),0.772435897435897)</f>
        <v>0.77243589743589702</v>
      </c>
      <c r="I36" s="27" t="s">
        <v>21</v>
      </c>
      <c r="J36" s="30"/>
      <c r="K36" s="30">
        <v>27</v>
      </c>
      <c r="L36" s="30"/>
      <c r="M36" s="30"/>
      <c r="N36" s="30"/>
      <c r="O36" s="30"/>
      <c r="P36" s="30"/>
      <c r="Q36" s="31"/>
      <c r="R36" s="31"/>
      <c r="S36" s="31"/>
      <c r="T36" s="31"/>
      <c r="U36" s="31"/>
      <c r="V36" s="31"/>
      <c r="W36" s="31"/>
      <c r="X36" s="30"/>
      <c r="Y36" s="30"/>
      <c r="Z36" s="30"/>
      <c r="AA36" s="30"/>
      <c r="AB36" s="30"/>
      <c r="AC36" s="30"/>
      <c r="AD36" s="30"/>
      <c r="AE36" s="31"/>
      <c r="AF36" s="31"/>
      <c r="AG36" s="31"/>
      <c r="AH36" s="31"/>
      <c r="AI36" s="31"/>
      <c r="AJ36" s="31"/>
      <c r="AK36" s="31"/>
      <c r="AL36" s="30"/>
      <c r="AM36" s="30"/>
      <c r="AN36" s="30"/>
      <c r="AO36" s="30"/>
      <c r="AP36" s="30">
        <v>31</v>
      </c>
      <c r="AQ36" s="30"/>
      <c r="AR36" s="30"/>
      <c r="AS36" s="31"/>
      <c r="AT36" s="31"/>
      <c r="AU36" s="31"/>
      <c r="AV36" s="31"/>
      <c r="AW36" s="31"/>
      <c r="AX36" s="31"/>
      <c r="AY36" s="31"/>
      <c r="AZ36" s="30"/>
      <c r="BA36" s="30"/>
      <c r="BB36" s="30"/>
      <c r="BC36" s="30"/>
      <c r="BD36" s="30"/>
      <c r="BE36" s="30"/>
      <c r="BF36" s="30"/>
      <c r="BG36" s="31"/>
      <c r="BH36" s="31"/>
      <c r="BI36" s="31"/>
      <c r="BJ36" s="31"/>
      <c r="BK36" s="31"/>
      <c r="BL36" s="31"/>
      <c r="BM36" s="31"/>
    </row>
    <row r="37" spans="1:65" ht="12.75" x14ac:dyDescent="0.2">
      <c r="A37" s="1"/>
      <c r="B37" s="8" t="s">
        <v>45</v>
      </c>
      <c r="C37" s="8" t="s">
        <v>34</v>
      </c>
      <c r="D37" s="8">
        <v>50529</v>
      </c>
      <c r="E37" s="8" t="s">
        <v>44</v>
      </c>
      <c r="F37" s="8" t="s">
        <v>26</v>
      </c>
      <c r="G37" s="25">
        <f t="shared" si="2"/>
        <v>12</v>
      </c>
      <c r="H37" s="26">
        <f ca="1">IFERROR(__xludf.DUMMYFUNCTION("IFERROR(AVERAGE(FILTER(J37:ZZ37/J$4:ZZ$4, J37:ZZ37&lt;&gt;"""")), """")"),0.777624207261304)</f>
        <v>0.77762420726130399</v>
      </c>
      <c r="I37" s="27" t="s">
        <v>21</v>
      </c>
      <c r="J37" s="30"/>
      <c r="K37" s="30"/>
      <c r="L37" s="30"/>
      <c r="M37" s="30"/>
      <c r="N37" s="30"/>
      <c r="O37" s="30"/>
      <c r="P37" s="30"/>
      <c r="Q37" s="31"/>
      <c r="R37" s="31"/>
      <c r="S37" s="31"/>
      <c r="T37" s="31"/>
      <c r="U37" s="31"/>
      <c r="V37" s="31"/>
      <c r="W37" s="31"/>
      <c r="X37" s="30"/>
      <c r="Y37" s="30"/>
      <c r="Z37" s="30">
        <v>26</v>
      </c>
      <c r="AA37" s="30">
        <v>34</v>
      </c>
      <c r="AB37" s="30"/>
      <c r="AC37" s="30"/>
      <c r="AD37" s="30"/>
      <c r="AE37" s="31">
        <v>26</v>
      </c>
      <c r="AF37" s="31">
        <v>25</v>
      </c>
      <c r="AG37" s="31">
        <v>19</v>
      </c>
      <c r="AH37" s="31">
        <v>29</v>
      </c>
      <c r="AI37" s="31">
        <v>18</v>
      </c>
      <c r="AJ37" s="31"/>
      <c r="AK37" s="31"/>
      <c r="AL37" s="30">
        <v>35</v>
      </c>
      <c r="AM37" s="30">
        <v>34</v>
      </c>
      <c r="AN37" s="30">
        <v>26</v>
      </c>
      <c r="AO37" s="30"/>
      <c r="AP37" s="30"/>
      <c r="AQ37" s="30">
        <v>32</v>
      </c>
      <c r="AR37" s="30"/>
      <c r="AS37" s="31">
        <v>29</v>
      </c>
      <c r="AT37" s="31"/>
      <c r="AU37" s="31"/>
      <c r="AV37" s="31"/>
      <c r="AW37" s="31"/>
      <c r="AX37" s="31"/>
      <c r="AY37" s="31"/>
      <c r="AZ37" s="30"/>
      <c r="BA37" s="30"/>
      <c r="BB37" s="30"/>
      <c r="BC37" s="30"/>
      <c r="BD37" s="30"/>
      <c r="BE37" s="30"/>
      <c r="BF37" s="30"/>
      <c r="BG37" s="31"/>
      <c r="BH37" s="31"/>
      <c r="BI37" s="31"/>
      <c r="BJ37" s="31"/>
      <c r="BK37" s="31"/>
      <c r="BL37" s="31"/>
      <c r="BM37" s="31"/>
    </row>
    <row r="38" spans="1:65" ht="12.75" x14ac:dyDescent="0.2">
      <c r="A38" s="1"/>
      <c r="B38" s="8" t="s">
        <v>139</v>
      </c>
      <c r="C38" s="8" t="s">
        <v>140</v>
      </c>
      <c r="D38" s="8">
        <v>51130</v>
      </c>
      <c r="E38" s="8" t="s">
        <v>44</v>
      </c>
      <c r="F38" s="8" t="s">
        <v>75</v>
      </c>
      <c r="G38" s="25">
        <f t="shared" si="2"/>
        <v>2</v>
      </c>
      <c r="H38" s="26">
        <f ca="1">IFERROR(__xludf.DUMMYFUNCTION("IFERROR(AVERAGE(FILTER(J38:ZZ38/J$4:ZZ$4, J38:ZZ38&lt;&gt;"""")), """")"),0.761764705882352)</f>
        <v>0.76176470588235201</v>
      </c>
      <c r="I38" s="27" t="s">
        <v>21</v>
      </c>
      <c r="J38" s="30"/>
      <c r="K38" s="30"/>
      <c r="L38" s="30"/>
      <c r="M38" s="30"/>
      <c r="N38" s="30"/>
      <c r="O38" s="30"/>
      <c r="P38" s="30"/>
      <c r="Q38" s="31">
        <v>28</v>
      </c>
      <c r="R38" s="31"/>
      <c r="S38" s="31"/>
      <c r="T38" s="31"/>
      <c r="U38" s="31"/>
      <c r="V38" s="31"/>
      <c r="W38" s="31"/>
      <c r="X38" s="30"/>
      <c r="Y38" s="30"/>
      <c r="Z38" s="30"/>
      <c r="AA38" s="30"/>
      <c r="AB38" s="30"/>
      <c r="AC38" s="30"/>
      <c r="AD38" s="30"/>
      <c r="AE38" s="31"/>
      <c r="AF38" s="31"/>
      <c r="AG38" s="31"/>
      <c r="AH38" s="31">
        <v>28</v>
      </c>
      <c r="AI38" s="31"/>
      <c r="AJ38" s="31"/>
      <c r="AK38" s="31"/>
      <c r="AL38" s="30"/>
      <c r="AM38" s="30"/>
      <c r="AN38" s="30"/>
      <c r="AO38" s="30"/>
      <c r="AP38" s="30"/>
      <c r="AQ38" s="30"/>
      <c r="AR38" s="30"/>
      <c r="AS38" s="31"/>
      <c r="AT38" s="31"/>
      <c r="AU38" s="31"/>
      <c r="AV38" s="31"/>
      <c r="AW38" s="31"/>
      <c r="AX38" s="31"/>
      <c r="AY38" s="31"/>
      <c r="AZ38" s="30"/>
      <c r="BA38" s="30"/>
      <c r="BB38" s="30"/>
      <c r="BC38" s="30"/>
      <c r="BD38" s="30"/>
      <c r="BE38" s="30"/>
      <c r="BF38" s="30"/>
      <c r="BG38" s="31"/>
      <c r="BH38" s="31"/>
      <c r="BI38" s="31"/>
      <c r="BJ38" s="31"/>
      <c r="BK38" s="31"/>
      <c r="BL38" s="31"/>
      <c r="BM38" s="31"/>
    </row>
    <row r="39" spans="1:65" ht="12.75" x14ac:dyDescent="0.2">
      <c r="A39" s="1"/>
      <c r="B39" s="8" t="s">
        <v>39</v>
      </c>
      <c r="C39" s="8" t="s">
        <v>40</v>
      </c>
      <c r="D39" s="8">
        <v>50054</v>
      </c>
      <c r="E39" s="8" t="s">
        <v>44</v>
      </c>
      <c r="F39" s="8" t="s">
        <v>41</v>
      </c>
      <c r="G39" s="25">
        <f t="shared" si="2"/>
        <v>12</v>
      </c>
      <c r="H39" s="26">
        <f ca="1">IFERROR(__xludf.DUMMYFUNCTION("IFERROR(AVERAGE(FILTER(J39:ZZ39/J$4:ZZ$4, J39:ZZ39&lt;&gt;"""")), """")"),0.751552498294858)</f>
        <v>0.75155249829485804</v>
      </c>
      <c r="I39" s="27" t="s">
        <v>21</v>
      </c>
      <c r="J39" s="30"/>
      <c r="K39" s="30"/>
      <c r="L39" s="30"/>
      <c r="M39" s="30"/>
      <c r="N39" s="30"/>
      <c r="O39" s="30"/>
      <c r="P39" s="30"/>
      <c r="Q39" s="31"/>
      <c r="R39" s="31"/>
      <c r="S39" s="31"/>
      <c r="T39" s="31">
        <v>30</v>
      </c>
      <c r="U39" s="31">
        <v>31</v>
      </c>
      <c r="V39" s="31">
        <v>33</v>
      </c>
      <c r="W39" s="31">
        <v>27</v>
      </c>
      <c r="X39" s="30"/>
      <c r="Y39" s="30">
        <v>33</v>
      </c>
      <c r="Z39" s="30"/>
      <c r="AA39" s="30"/>
      <c r="AB39" s="30"/>
      <c r="AC39" s="30"/>
      <c r="AD39" s="30"/>
      <c r="AE39" s="31">
        <v>28</v>
      </c>
      <c r="AF39" s="31">
        <v>24</v>
      </c>
      <c r="AG39" s="31">
        <v>19</v>
      </c>
      <c r="AH39" s="31">
        <v>31</v>
      </c>
      <c r="AI39" s="31">
        <v>18</v>
      </c>
      <c r="AJ39" s="31"/>
      <c r="AK39" s="31"/>
      <c r="AL39" s="30">
        <v>23</v>
      </c>
      <c r="AM39" s="30"/>
      <c r="AN39" s="30"/>
      <c r="AO39" s="30"/>
      <c r="AP39" s="30"/>
      <c r="AQ39" s="30"/>
      <c r="AR39" s="30"/>
      <c r="AS39" s="31">
        <v>29</v>
      </c>
      <c r="AT39" s="31"/>
      <c r="AU39" s="31"/>
      <c r="AV39" s="31"/>
      <c r="AW39" s="31"/>
      <c r="AX39" s="31"/>
      <c r="AY39" s="31"/>
      <c r="AZ39" s="30"/>
      <c r="BA39" s="30"/>
      <c r="BB39" s="30"/>
      <c r="BC39" s="30"/>
      <c r="BD39" s="30"/>
      <c r="BE39" s="30"/>
      <c r="BF39" s="30"/>
      <c r="BG39" s="31"/>
      <c r="BH39" s="31"/>
      <c r="BI39" s="31"/>
      <c r="BJ39" s="31"/>
      <c r="BK39" s="31"/>
      <c r="BL39" s="31"/>
      <c r="BM39" s="31"/>
    </row>
    <row r="40" spans="1:65" ht="12.75" x14ac:dyDescent="0.2">
      <c r="A40" s="1"/>
      <c r="B40" s="8" t="s">
        <v>46</v>
      </c>
      <c r="C40" s="8" t="s">
        <v>47</v>
      </c>
      <c r="D40" s="8">
        <v>50110</v>
      </c>
      <c r="E40" s="8" t="s">
        <v>44</v>
      </c>
      <c r="F40" s="8" t="s">
        <v>32</v>
      </c>
      <c r="G40" s="25">
        <f t="shared" si="2"/>
        <v>12</v>
      </c>
      <c r="H40" s="26">
        <f ca="1">IFERROR(__xludf.DUMMYFUNCTION("IFERROR(AVERAGE(FILTER(J40:ZZ40/J$4:ZZ$4, J40:ZZ40&lt;&gt;"""")), """")"),0.738187512508395)</f>
        <v>0.73818751250839498</v>
      </c>
      <c r="I40" s="27" t="s">
        <v>21</v>
      </c>
      <c r="J40" s="30"/>
      <c r="K40" s="30"/>
      <c r="L40" s="30"/>
      <c r="M40" s="30"/>
      <c r="N40" s="30"/>
      <c r="O40" s="30"/>
      <c r="P40" s="30"/>
      <c r="Q40" s="31"/>
      <c r="R40" s="31"/>
      <c r="S40" s="31"/>
      <c r="T40" s="31"/>
      <c r="U40" s="31"/>
      <c r="V40" s="31"/>
      <c r="W40" s="31"/>
      <c r="X40" s="30"/>
      <c r="Y40" s="30"/>
      <c r="Z40" s="30">
        <v>27</v>
      </c>
      <c r="AA40" s="30">
        <v>34</v>
      </c>
      <c r="AB40" s="30">
        <v>27</v>
      </c>
      <c r="AC40" s="30"/>
      <c r="AD40" s="30"/>
      <c r="AE40" s="31">
        <v>26</v>
      </c>
      <c r="AF40" s="31">
        <v>27</v>
      </c>
      <c r="AG40" s="31">
        <v>18</v>
      </c>
      <c r="AH40" s="31"/>
      <c r="AI40" s="31"/>
      <c r="AJ40" s="31">
        <v>25</v>
      </c>
      <c r="AK40" s="31"/>
      <c r="AL40" s="30">
        <v>30</v>
      </c>
      <c r="AM40" s="30">
        <v>28</v>
      </c>
      <c r="AN40" s="30">
        <v>27</v>
      </c>
      <c r="AO40" s="30">
        <v>19</v>
      </c>
      <c r="AP40" s="30"/>
      <c r="AQ40" s="30"/>
      <c r="AR40" s="30"/>
      <c r="AS40" s="31">
        <v>27</v>
      </c>
      <c r="AT40" s="31"/>
      <c r="AU40" s="31"/>
      <c r="AV40" s="31"/>
      <c r="AW40" s="31"/>
      <c r="AX40" s="31"/>
      <c r="AY40" s="31"/>
      <c r="AZ40" s="30"/>
      <c r="BA40" s="30"/>
      <c r="BB40" s="30"/>
      <c r="BC40" s="30"/>
      <c r="BD40" s="30"/>
      <c r="BE40" s="30"/>
      <c r="BF40" s="30"/>
      <c r="BG40" s="31"/>
      <c r="BH40" s="31"/>
      <c r="BI40" s="31"/>
      <c r="BJ40" s="31"/>
      <c r="BK40" s="31"/>
      <c r="BL40" s="31"/>
      <c r="BM40" s="31"/>
    </row>
    <row r="41" spans="1:65" ht="12.75" x14ac:dyDescent="0.2">
      <c r="A41" s="1"/>
      <c r="B41" s="8" t="s">
        <v>27</v>
      </c>
      <c r="C41" s="8" t="s">
        <v>120</v>
      </c>
      <c r="D41" s="8">
        <v>50448</v>
      </c>
      <c r="E41" s="8" t="s">
        <v>44</v>
      </c>
      <c r="F41" s="8" t="s">
        <v>141</v>
      </c>
      <c r="G41" s="25">
        <f t="shared" si="2"/>
        <v>3</v>
      </c>
      <c r="H41" s="26">
        <f ca="1">IFERROR(__xludf.DUMMYFUNCTION("IFERROR(AVERAGE(FILTER(J41:ZZ41/J$4:ZZ$4, J41:ZZ41&lt;&gt;"""")), """")"),0.743334090392914)</f>
        <v>0.74333409039291398</v>
      </c>
      <c r="I41" s="27" t="s">
        <v>21</v>
      </c>
      <c r="J41" s="30"/>
      <c r="K41" s="30"/>
      <c r="L41" s="30"/>
      <c r="M41" s="30"/>
      <c r="N41" s="30"/>
      <c r="O41" s="30"/>
      <c r="P41" s="30"/>
      <c r="Q41" s="31"/>
      <c r="R41" s="31"/>
      <c r="S41" s="31"/>
      <c r="T41" s="31">
        <v>29</v>
      </c>
      <c r="U41" s="31"/>
      <c r="V41" s="31"/>
      <c r="W41" s="31"/>
      <c r="X41" s="30"/>
      <c r="Y41" s="30"/>
      <c r="Z41" s="30"/>
      <c r="AA41" s="30"/>
      <c r="AB41" s="30"/>
      <c r="AC41" s="30">
        <v>21</v>
      </c>
      <c r="AD41" s="30"/>
      <c r="AE41" s="31">
        <v>29</v>
      </c>
      <c r="AF41" s="31"/>
      <c r="AG41" s="31"/>
      <c r="AH41" s="31"/>
      <c r="AI41" s="31"/>
      <c r="AJ41" s="31"/>
      <c r="AK41" s="31"/>
      <c r="AL41" s="30"/>
      <c r="AM41" s="30"/>
      <c r="AN41" s="30"/>
      <c r="AO41" s="30"/>
      <c r="AP41" s="30"/>
      <c r="AQ41" s="30"/>
      <c r="AR41" s="30"/>
      <c r="AS41" s="31"/>
      <c r="AT41" s="31"/>
      <c r="AU41" s="31"/>
      <c r="AV41" s="31"/>
      <c r="AW41" s="31"/>
      <c r="AX41" s="31"/>
      <c r="AY41" s="31"/>
      <c r="AZ41" s="30"/>
      <c r="BA41" s="30"/>
      <c r="BB41" s="30"/>
      <c r="BC41" s="30"/>
      <c r="BD41" s="30"/>
      <c r="BE41" s="30"/>
      <c r="BF41" s="30"/>
      <c r="BG41" s="31"/>
      <c r="BH41" s="31"/>
      <c r="BI41" s="31"/>
      <c r="BJ41" s="31"/>
      <c r="BK41" s="31"/>
      <c r="BL41" s="31"/>
      <c r="BM41" s="31"/>
    </row>
    <row r="42" spans="1:65" ht="12.75" x14ac:dyDescent="0.2">
      <c r="A42" s="1"/>
      <c r="B42" s="8" t="s">
        <v>142</v>
      </c>
      <c r="C42" s="8" t="s">
        <v>143</v>
      </c>
      <c r="D42" s="8">
        <v>50063</v>
      </c>
      <c r="E42" s="8" t="s">
        <v>44</v>
      </c>
      <c r="F42" s="8" t="s">
        <v>75</v>
      </c>
      <c r="G42" s="25">
        <f t="shared" si="2"/>
        <v>12</v>
      </c>
      <c r="H42" s="26">
        <f ca="1">IFERROR(__xludf.DUMMYFUNCTION("IFERROR(AVERAGE(FILTER(J42:ZZ42/J$4:ZZ$4, J42:ZZ42&lt;&gt;"""")), """")"),0.741007320321087)</f>
        <v>0.74100732032108696</v>
      </c>
      <c r="I42" s="27" t="s">
        <v>21</v>
      </c>
      <c r="J42" s="30"/>
      <c r="K42" s="30"/>
      <c r="L42" s="30"/>
      <c r="M42" s="30"/>
      <c r="N42" s="30"/>
      <c r="O42" s="30"/>
      <c r="P42" s="30"/>
      <c r="Q42" s="31"/>
      <c r="R42" s="31"/>
      <c r="S42" s="31"/>
      <c r="T42" s="31"/>
      <c r="U42" s="31"/>
      <c r="V42" s="31"/>
      <c r="W42" s="31"/>
      <c r="X42" s="30"/>
      <c r="Y42" s="30"/>
      <c r="Z42" s="30">
        <v>27</v>
      </c>
      <c r="AA42" s="30">
        <v>26</v>
      </c>
      <c r="AB42" s="30"/>
      <c r="AC42" s="30">
        <v>20</v>
      </c>
      <c r="AD42" s="30"/>
      <c r="AE42" s="31">
        <v>29</v>
      </c>
      <c r="AF42" s="31">
        <v>25</v>
      </c>
      <c r="AG42" s="31"/>
      <c r="AH42" s="31">
        <v>31</v>
      </c>
      <c r="AI42" s="31">
        <v>23</v>
      </c>
      <c r="AJ42" s="31">
        <v>25</v>
      </c>
      <c r="AK42" s="31"/>
      <c r="AL42" s="30"/>
      <c r="AM42" s="30">
        <v>25</v>
      </c>
      <c r="AN42" s="30">
        <v>33</v>
      </c>
      <c r="AO42" s="30"/>
      <c r="AP42" s="30">
        <v>33</v>
      </c>
      <c r="AQ42" s="30">
        <v>27</v>
      </c>
      <c r="AR42" s="30"/>
      <c r="AS42" s="31"/>
      <c r="AT42" s="31"/>
      <c r="AU42" s="31"/>
      <c r="AV42" s="31"/>
      <c r="AW42" s="31"/>
      <c r="AX42" s="31"/>
      <c r="AY42" s="31"/>
      <c r="AZ42" s="30"/>
      <c r="BA42" s="30"/>
      <c r="BB42" s="30"/>
      <c r="BC42" s="30"/>
      <c r="BD42" s="30"/>
      <c r="BE42" s="30"/>
      <c r="BF42" s="30"/>
      <c r="BG42" s="31"/>
      <c r="BH42" s="31"/>
      <c r="BI42" s="31"/>
      <c r="BJ42" s="31"/>
      <c r="BK42" s="31"/>
      <c r="BL42" s="31"/>
      <c r="BM42" s="31"/>
    </row>
    <row r="43" spans="1:65" ht="12.75" x14ac:dyDescent="0.2">
      <c r="A43" s="1"/>
      <c r="B43" s="8" t="s">
        <v>144</v>
      </c>
      <c r="C43" s="8" t="s">
        <v>145</v>
      </c>
      <c r="D43" s="8">
        <v>60518</v>
      </c>
      <c r="E43" s="8" t="s">
        <v>44</v>
      </c>
      <c r="F43" s="8" t="s">
        <v>32</v>
      </c>
      <c r="G43" s="25">
        <f t="shared" si="2"/>
        <v>1</v>
      </c>
      <c r="H43" s="26">
        <f ca="1">IFERROR(__xludf.DUMMYFUNCTION("IFERROR(AVERAGE(FILTER(J43:ZZ43/J$4:ZZ$4, J43:ZZ43&lt;&gt;"""")), """")"),0.736842105263157)</f>
        <v>0.73684210526315697</v>
      </c>
      <c r="I43" s="27" t="s">
        <v>21</v>
      </c>
      <c r="J43" s="30"/>
      <c r="K43" s="30"/>
      <c r="L43" s="30"/>
      <c r="M43" s="30"/>
      <c r="N43" s="30"/>
      <c r="O43" s="30">
        <v>28</v>
      </c>
      <c r="P43" s="30"/>
      <c r="Q43" s="31"/>
      <c r="R43" s="31"/>
      <c r="S43" s="31"/>
      <c r="T43" s="31"/>
      <c r="U43" s="31"/>
      <c r="V43" s="31"/>
      <c r="W43" s="31"/>
      <c r="X43" s="30"/>
      <c r="Y43" s="30"/>
      <c r="Z43" s="30"/>
      <c r="AA43" s="30"/>
      <c r="AB43" s="30"/>
      <c r="AC43" s="30"/>
      <c r="AD43" s="30"/>
      <c r="AE43" s="31"/>
      <c r="AF43" s="31"/>
      <c r="AG43" s="31"/>
      <c r="AH43" s="31"/>
      <c r="AI43" s="31"/>
      <c r="AJ43" s="31"/>
      <c r="AK43" s="31"/>
      <c r="AL43" s="30"/>
      <c r="AM43" s="30"/>
      <c r="AN43" s="30"/>
      <c r="AO43" s="30"/>
      <c r="AP43" s="30"/>
      <c r="AQ43" s="30"/>
      <c r="AR43" s="30"/>
      <c r="AS43" s="31"/>
      <c r="AT43" s="31"/>
      <c r="AU43" s="31"/>
      <c r="AV43" s="31"/>
      <c r="AW43" s="31"/>
      <c r="AX43" s="31"/>
      <c r="AY43" s="31"/>
      <c r="AZ43" s="30"/>
      <c r="BA43" s="30"/>
      <c r="BB43" s="30"/>
      <c r="BC43" s="30"/>
      <c r="BD43" s="30"/>
      <c r="BE43" s="30"/>
      <c r="BF43" s="30"/>
      <c r="BG43" s="31"/>
      <c r="BH43" s="31"/>
      <c r="BI43" s="31"/>
      <c r="BJ43" s="31"/>
      <c r="BK43" s="31"/>
      <c r="BL43" s="31"/>
      <c r="BM43" s="31"/>
    </row>
    <row r="44" spans="1:65" ht="12.75" x14ac:dyDescent="0.2">
      <c r="A44" s="1"/>
      <c r="B44" s="8" t="s">
        <v>146</v>
      </c>
      <c r="C44" s="8" t="s">
        <v>147</v>
      </c>
      <c r="D44" s="8">
        <v>60426</v>
      </c>
      <c r="E44" s="8" t="s">
        <v>44</v>
      </c>
      <c r="F44" s="8" t="s">
        <v>32</v>
      </c>
      <c r="G44" s="25">
        <f t="shared" si="2"/>
        <v>1</v>
      </c>
      <c r="H44" s="26">
        <f ca="1">IFERROR(__xludf.DUMMYFUNCTION("IFERROR(AVERAGE(FILTER(J44:ZZ44/J$4:ZZ$4, J44:ZZ44&lt;&gt;"""")), """")"),0.736842105263157)</f>
        <v>0.73684210526315697</v>
      </c>
      <c r="I44" s="27" t="s">
        <v>21</v>
      </c>
      <c r="J44" s="30"/>
      <c r="K44" s="30"/>
      <c r="L44" s="30"/>
      <c r="M44" s="30"/>
      <c r="N44" s="30"/>
      <c r="O44" s="30">
        <v>28</v>
      </c>
      <c r="P44" s="30"/>
      <c r="Q44" s="31"/>
      <c r="R44" s="31"/>
      <c r="S44" s="31"/>
      <c r="T44" s="31"/>
      <c r="U44" s="31"/>
      <c r="V44" s="31"/>
      <c r="W44" s="31"/>
      <c r="X44" s="30"/>
      <c r="Y44" s="30"/>
      <c r="Z44" s="30"/>
      <c r="AA44" s="30"/>
      <c r="AB44" s="30"/>
      <c r="AC44" s="30"/>
      <c r="AD44" s="30"/>
      <c r="AE44" s="31"/>
      <c r="AF44" s="31"/>
      <c r="AG44" s="31"/>
      <c r="AH44" s="31"/>
      <c r="AI44" s="31"/>
      <c r="AJ44" s="31"/>
      <c r="AK44" s="31"/>
      <c r="AL44" s="30"/>
      <c r="AM44" s="30"/>
      <c r="AN44" s="30"/>
      <c r="AO44" s="30"/>
      <c r="AP44" s="30"/>
      <c r="AQ44" s="30"/>
      <c r="AR44" s="30"/>
      <c r="AS44" s="31"/>
      <c r="AT44" s="31"/>
      <c r="AU44" s="31"/>
      <c r="AV44" s="31"/>
      <c r="AW44" s="31"/>
      <c r="AX44" s="31"/>
      <c r="AY44" s="31"/>
      <c r="AZ44" s="30"/>
      <c r="BA44" s="30"/>
      <c r="BB44" s="30"/>
      <c r="BC44" s="30"/>
      <c r="BD44" s="30"/>
      <c r="BE44" s="30"/>
      <c r="BF44" s="30"/>
      <c r="BG44" s="31"/>
      <c r="BH44" s="31"/>
      <c r="BI44" s="31"/>
      <c r="BJ44" s="31"/>
      <c r="BK44" s="31"/>
      <c r="BL44" s="31"/>
      <c r="BM44" s="31"/>
    </row>
    <row r="45" spans="1:65" ht="12.75" x14ac:dyDescent="0.2">
      <c r="A45" s="1"/>
      <c r="B45" s="8" t="s">
        <v>50</v>
      </c>
      <c r="C45" s="8" t="s">
        <v>51</v>
      </c>
      <c r="D45" s="8">
        <v>51054</v>
      </c>
      <c r="E45" s="8" t="s">
        <v>44</v>
      </c>
      <c r="F45" s="8" t="s">
        <v>26</v>
      </c>
      <c r="G45" s="25">
        <f t="shared" si="2"/>
        <v>12</v>
      </c>
      <c r="H45" s="26">
        <f ca="1">IFERROR(__xludf.DUMMYFUNCTION("IFERROR(AVERAGE(FILTER(J45:ZZ45/J$4:ZZ$4, J45:ZZ45&lt;&gt;"""")), """")"),0.710377820110792)</f>
        <v>0.71037782011079198</v>
      </c>
      <c r="I45" s="27" t="s">
        <v>21</v>
      </c>
      <c r="J45" s="30"/>
      <c r="K45" s="30"/>
      <c r="L45" s="30"/>
      <c r="M45" s="30"/>
      <c r="N45" s="30"/>
      <c r="O45" s="30"/>
      <c r="P45" s="30"/>
      <c r="Q45" s="31"/>
      <c r="R45" s="31"/>
      <c r="S45" s="31"/>
      <c r="T45" s="31"/>
      <c r="U45" s="31"/>
      <c r="V45" s="31"/>
      <c r="W45" s="31"/>
      <c r="X45" s="30"/>
      <c r="Y45" s="30"/>
      <c r="Z45" s="30"/>
      <c r="AA45" s="30">
        <v>31</v>
      </c>
      <c r="AB45" s="30">
        <v>24</v>
      </c>
      <c r="AC45" s="30">
        <v>24</v>
      </c>
      <c r="AD45" s="30"/>
      <c r="AE45" s="31">
        <v>26</v>
      </c>
      <c r="AF45" s="31">
        <v>23</v>
      </c>
      <c r="AG45" s="31">
        <v>19</v>
      </c>
      <c r="AH45" s="31">
        <v>32</v>
      </c>
      <c r="AI45" s="31"/>
      <c r="AJ45" s="31">
        <v>30</v>
      </c>
      <c r="AK45" s="31"/>
      <c r="AL45" s="30"/>
      <c r="AM45" s="30">
        <v>25</v>
      </c>
      <c r="AN45" s="30">
        <v>28</v>
      </c>
      <c r="AO45" s="30"/>
      <c r="AP45" s="30"/>
      <c r="AQ45" s="30">
        <v>27</v>
      </c>
      <c r="AR45" s="30"/>
      <c r="AS45" s="31">
        <v>21</v>
      </c>
      <c r="AT45" s="31"/>
      <c r="AU45" s="31"/>
      <c r="AV45" s="31"/>
      <c r="AW45" s="31"/>
      <c r="AX45" s="31"/>
      <c r="AY45" s="31"/>
      <c r="AZ45" s="30"/>
      <c r="BA45" s="30"/>
      <c r="BB45" s="30"/>
      <c r="BC45" s="30"/>
      <c r="BD45" s="30"/>
      <c r="BE45" s="30"/>
      <c r="BF45" s="30"/>
      <c r="BG45" s="31"/>
      <c r="BH45" s="31"/>
      <c r="BI45" s="31"/>
      <c r="BJ45" s="31"/>
      <c r="BK45" s="31"/>
      <c r="BL45" s="31"/>
      <c r="BM45" s="31"/>
    </row>
    <row r="46" spans="1:65" ht="12.75" x14ac:dyDescent="0.2">
      <c r="A46" s="1"/>
      <c r="B46" s="8" t="s">
        <v>148</v>
      </c>
      <c r="C46" s="8" t="s">
        <v>149</v>
      </c>
      <c r="D46" s="8">
        <v>51071</v>
      </c>
      <c r="E46" s="8" t="s">
        <v>44</v>
      </c>
      <c r="F46" s="8" t="s">
        <v>26</v>
      </c>
      <c r="G46" s="25">
        <f t="shared" si="2"/>
        <v>12</v>
      </c>
      <c r="H46" s="26">
        <f ca="1">IFERROR(__xludf.DUMMYFUNCTION("IFERROR(AVERAGE(FILTER(J46:ZZ46/J$4:ZZ$4, J46:ZZ46&lt;&gt;"""")), """")"),0.722623955370135)</f>
        <v>0.72262395537013502</v>
      </c>
      <c r="I46" s="27" t="s">
        <v>21</v>
      </c>
      <c r="J46" s="30"/>
      <c r="K46" s="30"/>
      <c r="L46" s="30"/>
      <c r="M46" s="30"/>
      <c r="N46" s="30"/>
      <c r="O46" s="30"/>
      <c r="P46" s="30"/>
      <c r="Q46" s="31"/>
      <c r="R46" s="31"/>
      <c r="S46" s="31"/>
      <c r="T46" s="31"/>
      <c r="U46" s="31"/>
      <c r="V46" s="31"/>
      <c r="W46" s="31"/>
      <c r="X46" s="30"/>
      <c r="Y46" s="30"/>
      <c r="Z46" s="30"/>
      <c r="AA46" s="30"/>
      <c r="AB46" s="30"/>
      <c r="AC46" s="30"/>
      <c r="AD46" s="30"/>
      <c r="AE46" s="31">
        <v>29</v>
      </c>
      <c r="AF46" s="31">
        <v>25</v>
      </c>
      <c r="AG46" s="31">
        <v>21</v>
      </c>
      <c r="AH46" s="31">
        <v>36</v>
      </c>
      <c r="AI46" s="31">
        <v>24</v>
      </c>
      <c r="AJ46" s="31">
        <v>23</v>
      </c>
      <c r="AK46" s="31"/>
      <c r="AL46" s="30">
        <v>31</v>
      </c>
      <c r="AM46" s="30">
        <v>26</v>
      </c>
      <c r="AN46" s="30">
        <v>29</v>
      </c>
      <c r="AO46" s="30">
        <v>16</v>
      </c>
      <c r="AP46" s="30">
        <v>27</v>
      </c>
      <c r="AQ46" s="30">
        <v>21</v>
      </c>
      <c r="AR46" s="30"/>
      <c r="AS46" s="31"/>
      <c r="AT46" s="31"/>
      <c r="AU46" s="31"/>
      <c r="AV46" s="31"/>
      <c r="AW46" s="31"/>
      <c r="AX46" s="31"/>
      <c r="AY46" s="31"/>
      <c r="AZ46" s="30"/>
      <c r="BA46" s="30"/>
      <c r="BB46" s="30"/>
      <c r="BC46" s="30"/>
      <c r="BD46" s="30"/>
      <c r="BE46" s="30"/>
      <c r="BF46" s="30"/>
      <c r="BG46" s="31"/>
      <c r="BH46" s="31"/>
      <c r="BI46" s="31"/>
      <c r="BJ46" s="31"/>
      <c r="BK46" s="31"/>
      <c r="BL46" s="31"/>
      <c r="BM46" s="31"/>
    </row>
    <row r="47" spans="1:65" ht="12.75" x14ac:dyDescent="0.2">
      <c r="A47" s="1"/>
      <c r="B47" s="8" t="s">
        <v>150</v>
      </c>
      <c r="C47" s="8" t="s">
        <v>34</v>
      </c>
      <c r="D47" s="8">
        <v>51181</v>
      </c>
      <c r="E47" s="8" t="s">
        <v>44</v>
      </c>
      <c r="F47" s="8" t="s">
        <v>26</v>
      </c>
      <c r="G47" s="25">
        <f t="shared" si="2"/>
        <v>12</v>
      </c>
      <c r="H47" s="26">
        <f ca="1">IFERROR(__xludf.DUMMYFUNCTION("IFERROR(AVERAGE(FILTER(J47:ZZ47/J$4:ZZ$4, J47:ZZ47&lt;&gt;"""")), """")"),0.706793842842604)</f>
        <v>0.70679384284260405</v>
      </c>
      <c r="I47" s="27" t="s">
        <v>21</v>
      </c>
      <c r="J47" s="30"/>
      <c r="K47" s="30"/>
      <c r="L47" s="30"/>
      <c r="M47" s="30"/>
      <c r="N47" s="30"/>
      <c r="O47" s="30"/>
      <c r="P47" s="30"/>
      <c r="Q47" s="31">
        <v>19</v>
      </c>
      <c r="R47" s="31">
        <v>24</v>
      </c>
      <c r="S47" s="31">
        <v>28</v>
      </c>
      <c r="T47" s="31">
        <v>30</v>
      </c>
      <c r="U47" s="31">
        <v>30</v>
      </c>
      <c r="V47" s="31">
        <v>32</v>
      </c>
      <c r="W47" s="31">
        <v>26</v>
      </c>
      <c r="X47" s="30">
        <v>24</v>
      </c>
      <c r="Y47" s="30">
        <v>28</v>
      </c>
      <c r="Z47" s="30"/>
      <c r="AA47" s="30">
        <v>29</v>
      </c>
      <c r="AB47" s="30">
        <v>26</v>
      </c>
      <c r="AC47" s="30">
        <v>22</v>
      </c>
      <c r="AD47" s="30"/>
      <c r="AE47" s="31"/>
      <c r="AF47" s="31"/>
      <c r="AG47" s="31"/>
      <c r="AH47" s="31"/>
      <c r="AI47" s="31"/>
      <c r="AJ47" s="31"/>
      <c r="AK47" s="31"/>
      <c r="AL47" s="30"/>
      <c r="AM47" s="30"/>
      <c r="AN47" s="30"/>
      <c r="AO47" s="30"/>
      <c r="AP47" s="30"/>
      <c r="AQ47" s="30"/>
      <c r="AR47" s="30"/>
      <c r="AS47" s="31"/>
      <c r="AT47" s="31"/>
      <c r="AU47" s="31"/>
      <c r="AV47" s="31"/>
      <c r="AW47" s="31"/>
      <c r="AX47" s="31"/>
      <c r="AY47" s="31"/>
      <c r="AZ47" s="30"/>
      <c r="BA47" s="30"/>
      <c r="BB47" s="30"/>
      <c r="BC47" s="30"/>
      <c r="BD47" s="30"/>
      <c r="BE47" s="30"/>
      <c r="BF47" s="30"/>
      <c r="BG47" s="31"/>
      <c r="BH47" s="31"/>
      <c r="BI47" s="31"/>
      <c r="BJ47" s="31"/>
      <c r="BK47" s="31"/>
      <c r="BL47" s="31"/>
      <c r="BM47" s="31"/>
    </row>
    <row r="48" spans="1:65" ht="12.75" x14ac:dyDescent="0.2">
      <c r="A48" s="1"/>
      <c r="B48" s="8" t="s">
        <v>48</v>
      </c>
      <c r="C48" s="8" t="s">
        <v>151</v>
      </c>
      <c r="D48" s="8">
        <v>51219</v>
      </c>
      <c r="E48" s="8" t="s">
        <v>44</v>
      </c>
      <c r="F48" s="8" t="s">
        <v>26</v>
      </c>
      <c r="G48" s="25">
        <f t="shared" si="2"/>
        <v>11</v>
      </c>
      <c r="H48" s="26">
        <f ca="1">IFERROR(__xludf.DUMMYFUNCTION("IFERROR(AVERAGE(FILTER(J48:ZZ48/J$4:ZZ$4, J48:ZZ48&lt;&gt;"""")), """")"),0.70040587239229)</f>
        <v>0.70040587239229002</v>
      </c>
      <c r="I48" s="27" t="s">
        <v>21</v>
      </c>
      <c r="J48" s="30"/>
      <c r="K48" s="30"/>
      <c r="L48" s="30"/>
      <c r="M48" s="30"/>
      <c r="N48" s="30"/>
      <c r="O48" s="30"/>
      <c r="P48" s="30"/>
      <c r="Q48" s="31"/>
      <c r="R48" s="31"/>
      <c r="S48" s="31"/>
      <c r="T48" s="31"/>
      <c r="U48" s="31"/>
      <c r="V48" s="31"/>
      <c r="W48" s="31"/>
      <c r="X48" s="30"/>
      <c r="Y48" s="30"/>
      <c r="Z48" s="30"/>
      <c r="AA48" s="30"/>
      <c r="AB48" s="30"/>
      <c r="AC48" s="30"/>
      <c r="AD48" s="30"/>
      <c r="AE48" s="31">
        <v>20</v>
      </c>
      <c r="AF48" s="31">
        <v>23</v>
      </c>
      <c r="AG48" s="31">
        <v>22</v>
      </c>
      <c r="AH48" s="31"/>
      <c r="AI48" s="31">
        <v>19</v>
      </c>
      <c r="AJ48" s="31">
        <v>25</v>
      </c>
      <c r="AK48" s="31"/>
      <c r="AL48" s="30">
        <v>30</v>
      </c>
      <c r="AM48" s="30">
        <v>22</v>
      </c>
      <c r="AN48" s="30">
        <v>28</v>
      </c>
      <c r="AO48" s="30"/>
      <c r="AP48" s="30">
        <v>28</v>
      </c>
      <c r="AQ48" s="30">
        <v>30</v>
      </c>
      <c r="AR48" s="30"/>
      <c r="AS48" s="31">
        <v>26</v>
      </c>
      <c r="AT48" s="31"/>
      <c r="AU48" s="31"/>
      <c r="AV48" s="31"/>
      <c r="AW48" s="31"/>
      <c r="AX48" s="31"/>
      <c r="AY48" s="31"/>
      <c r="AZ48" s="30"/>
      <c r="BA48" s="30"/>
      <c r="BB48" s="30"/>
      <c r="BC48" s="30"/>
      <c r="BD48" s="30"/>
      <c r="BE48" s="30"/>
      <c r="BF48" s="30"/>
      <c r="BG48" s="31"/>
      <c r="BH48" s="31"/>
      <c r="BI48" s="31"/>
      <c r="BJ48" s="31"/>
      <c r="BK48" s="31"/>
      <c r="BL48" s="31"/>
      <c r="BM48" s="31"/>
    </row>
    <row r="49" spans="1:65" ht="12.75" x14ac:dyDescent="0.2">
      <c r="A49" s="1"/>
      <c r="B49" s="8" t="s">
        <v>110</v>
      </c>
      <c r="C49" s="8" t="s">
        <v>152</v>
      </c>
      <c r="D49" s="8">
        <v>51164</v>
      </c>
      <c r="E49" s="8" t="s">
        <v>44</v>
      </c>
      <c r="F49" s="8" t="s">
        <v>26</v>
      </c>
      <c r="G49" s="25">
        <f t="shared" si="2"/>
        <v>12</v>
      </c>
      <c r="H49" s="26">
        <f ca="1">IFERROR(__xludf.DUMMYFUNCTION("IFERROR(AVERAGE(FILTER(J49:ZZ49/J$4:ZZ$4, J49:ZZ49&lt;&gt;"""")), """")"),0.697036358220568)</f>
        <v>0.69703635822056798</v>
      </c>
      <c r="I49" s="27" t="s">
        <v>21</v>
      </c>
      <c r="J49" s="30"/>
      <c r="K49" s="30"/>
      <c r="L49" s="30"/>
      <c r="M49" s="30"/>
      <c r="N49" s="30"/>
      <c r="O49" s="30"/>
      <c r="P49" s="30"/>
      <c r="Q49" s="31"/>
      <c r="R49" s="31"/>
      <c r="S49" s="31">
        <v>26</v>
      </c>
      <c r="T49" s="31">
        <v>25</v>
      </c>
      <c r="U49" s="31">
        <v>29</v>
      </c>
      <c r="V49" s="31"/>
      <c r="W49" s="31">
        <v>26</v>
      </c>
      <c r="X49" s="30">
        <v>29</v>
      </c>
      <c r="Y49" s="30">
        <v>31</v>
      </c>
      <c r="Z49" s="30">
        <v>22</v>
      </c>
      <c r="AA49" s="30">
        <v>31</v>
      </c>
      <c r="AB49" s="30">
        <v>23</v>
      </c>
      <c r="AC49" s="30"/>
      <c r="AD49" s="30"/>
      <c r="AE49" s="31">
        <v>26</v>
      </c>
      <c r="AF49" s="31"/>
      <c r="AG49" s="31">
        <v>17</v>
      </c>
      <c r="AH49" s="31">
        <v>25</v>
      </c>
      <c r="AI49" s="31"/>
      <c r="AJ49" s="31"/>
      <c r="AK49" s="31"/>
      <c r="AL49" s="30"/>
      <c r="AM49" s="30"/>
      <c r="AN49" s="30"/>
      <c r="AO49" s="30"/>
      <c r="AP49" s="30"/>
      <c r="AQ49" s="30"/>
      <c r="AR49" s="30"/>
      <c r="AS49" s="31"/>
      <c r="AT49" s="31"/>
      <c r="AU49" s="31"/>
      <c r="AV49" s="31"/>
      <c r="AW49" s="31"/>
      <c r="AX49" s="31"/>
      <c r="AY49" s="31"/>
      <c r="AZ49" s="30"/>
      <c r="BA49" s="30"/>
      <c r="BB49" s="30"/>
      <c r="BC49" s="30"/>
      <c r="BD49" s="30"/>
      <c r="BE49" s="30"/>
      <c r="BF49" s="30"/>
      <c r="BG49" s="31"/>
      <c r="BH49" s="31"/>
      <c r="BI49" s="31"/>
      <c r="BJ49" s="31"/>
      <c r="BK49" s="31"/>
      <c r="BL49" s="31"/>
      <c r="BM49" s="31"/>
    </row>
    <row r="50" spans="1:65" ht="12.75" x14ac:dyDescent="0.2">
      <c r="A50" s="1"/>
      <c r="B50" s="8" t="s">
        <v>59</v>
      </c>
      <c r="C50" s="8" t="s">
        <v>153</v>
      </c>
      <c r="D50" s="8" t="s">
        <v>154</v>
      </c>
      <c r="E50" s="8" t="s">
        <v>44</v>
      </c>
      <c r="F50" s="8" t="s">
        <v>26</v>
      </c>
      <c r="G50" s="25">
        <f t="shared" si="2"/>
        <v>1</v>
      </c>
      <c r="H50" s="26">
        <f ca="1">IFERROR(__xludf.DUMMYFUNCTION("IFERROR(AVERAGE(FILTER(J50:ZZ50/J$4:ZZ$4, J50:ZZ50&lt;&gt;"""")), """")"),0.694444444444444)</f>
        <v>0.69444444444444398</v>
      </c>
      <c r="I50" s="27" t="s">
        <v>21</v>
      </c>
      <c r="J50" s="30"/>
      <c r="K50" s="30"/>
      <c r="L50" s="30"/>
      <c r="M50" s="30"/>
      <c r="N50" s="30"/>
      <c r="O50" s="30"/>
      <c r="P50" s="30"/>
      <c r="Q50" s="31"/>
      <c r="R50" s="31"/>
      <c r="S50" s="31"/>
      <c r="T50" s="31"/>
      <c r="U50" s="31"/>
      <c r="V50" s="31"/>
      <c r="W50" s="31"/>
      <c r="X50" s="30"/>
      <c r="Y50" s="30"/>
      <c r="Z50" s="30"/>
      <c r="AA50" s="30"/>
      <c r="AB50" s="30"/>
      <c r="AC50" s="30"/>
      <c r="AD50" s="30"/>
      <c r="AE50" s="31"/>
      <c r="AF50" s="31"/>
      <c r="AG50" s="31"/>
      <c r="AH50" s="31"/>
      <c r="AI50" s="31"/>
      <c r="AJ50" s="31"/>
      <c r="AK50" s="31"/>
      <c r="AL50" s="30"/>
      <c r="AM50" s="30"/>
      <c r="AN50" s="30"/>
      <c r="AO50" s="30"/>
      <c r="AP50" s="30"/>
      <c r="AQ50" s="30">
        <v>25</v>
      </c>
      <c r="AR50" s="30"/>
      <c r="AS50" s="31"/>
      <c r="AT50" s="31"/>
      <c r="AU50" s="31"/>
      <c r="AV50" s="31"/>
      <c r="AW50" s="31"/>
      <c r="AX50" s="31"/>
      <c r="AY50" s="31"/>
      <c r="AZ50" s="30"/>
      <c r="BA50" s="30"/>
      <c r="BB50" s="30"/>
      <c r="BC50" s="30"/>
      <c r="BD50" s="30"/>
      <c r="BE50" s="30"/>
      <c r="BF50" s="30"/>
      <c r="BG50" s="31"/>
      <c r="BH50" s="31"/>
      <c r="BI50" s="31"/>
      <c r="BJ50" s="31"/>
      <c r="BK50" s="31"/>
      <c r="BL50" s="31"/>
      <c r="BM50" s="31"/>
    </row>
    <row r="51" spans="1:65" ht="12.75" x14ac:dyDescent="0.2">
      <c r="A51" s="1"/>
      <c r="B51" s="8" t="s">
        <v>155</v>
      </c>
      <c r="C51" s="8" t="s">
        <v>82</v>
      </c>
      <c r="D51" s="8">
        <v>51180</v>
      </c>
      <c r="E51" s="8" t="s">
        <v>44</v>
      </c>
      <c r="F51" s="8" t="s">
        <v>32</v>
      </c>
      <c r="G51" s="25">
        <f t="shared" si="2"/>
        <v>12</v>
      </c>
      <c r="H51" s="26">
        <f ca="1">IFERROR(__xludf.DUMMYFUNCTION("IFERROR(AVERAGE(FILTER(J51:ZZ51/J$4:ZZ$4, J51:ZZ51&lt;&gt;"""")), """")"),0.692794090530158)</f>
        <v>0.69279409053015795</v>
      </c>
      <c r="I51" s="27" t="s">
        <v>21</v>
      </c>
      <c r="J51" s="30">
        <v>21</v>
      </c>
      <c r="K51" s="30">
        <v>14</v>
      </c>
      <c r="L51" s="30"/>
      <c r="M51" s="30">
        <v>23</v>
      </c>
      <c r="N51" s="30"/>
      <c r="O51" s="30">
        <v>25</v>
      </c>
      <c r="P51" s="30"/>
      <c r="Q51" s="31">
        <v>28</v>
      </c>
      <c r="R51" s="31"/>
      <c r="S51" s="31">
        <v>31</v>
      </c>
      <c r="T51" s="31">
        <v>31</v>
      </c>
      <c r="U51" s="31"/>
      <c r="V51" s="31"/>
      <c r="W51" s="31">
        <v>27</v>
      </c>
      <c r="X51" s="30"/>
      <c r="Y51" s="30"/>
      <c r="Z51" s="30"/>
      <c r="AA51" s="30"/>
      <c r="AB51" s="30">
        <v>29</v>
      </c>
      <c r="AC51" s="30">
        <v>21</v>
      </c>
      <c r="AD51" s="30"/>
      <c r="AE51" s="31"/>
      <c r="AF51" s="31"/>
      <c r="AG51" s="31">
        <v>18</v>
      </c>
      <c r="AH51" s="31">
        <v>33</v>
      </c>
      <c r="AI51" s="31"/>
      <c r="AJ51" s="31"/>
      <c r="AK51" s="31"/>
      <c r="AL51" s="30"/>
      <c r="AM51" s="30"/>
      <c r="AN51" s="30"/>
      <c r="AO51" s="30"/>
      <c r="AP51" s="30"/>
      <c r="AQ51" s="30"/>
      <c r="AR51" s="30"/>
      <c r="AS51" s="31"/>
      <c r="AT51" s="31"/>
      <c r="AU51" s="31"/>
      <c r="AV51" s="31"/>
      <c r="AW51" s="31"/>
      <c r="AX51" s="31"/>
      <c r="AY51" s="31"/>
      <c r="AZ51" s="30"/>
      <c r="BA51" s="30"/>
      <c r="BB51" s="30"/>
      <c r="BC51" s="30"/>
      <c r="BD51" s="30"/>
      <c r="BE51" s="30"/>
      <c r="BF51" s="30"/>
      <c r="BG51" s="31"/>
      <c r="BH51" s="31"/>
      <c r="BI51" s="31"/>
      <c r="BJ51" s="31"/>
      <c r="BK51" s="31"/>
      <c r="BL51" s="31"/>
      <c r="BM51" s="31"/>
    </row>
    <row r="52" spans="1:65" ht="12.75" x14ac:dyDescent="0.2">
      <c r="A52" s="1"/>
      <c r="B52" s="8" t="s">
        <v>110</v>
      </c>
      <c r="C52" s="8" t="s">
        <v>156</v>
      </c>
      <c r="D52" s="8">
        <v>50168</v>
      </c>
      <c r="E52" s="8" t="s">
        <v>44</v>
      </c>
      <c r="F52" s="8" t="s">
        <v>75</v>
      </c>
      <c r="G52" s="25">
        <f t="shared" si="2"/>
        <v>2</v>
      </c>
      <c r="H52" s="26">
        <f ca="1">IFERROR(__xludf.DUMMYFUNCTION("IFERROR(AVERAGE(FILTER(J52:ZZ52/J$4:ZZ$4, J52:ZZ52&lt;&gt;"""")), """")"),0.686572199730094)</f>
        <v>0.68657219973009398</v>
      </c>
      <c r="I52" s="27" t="s">
        <v>21</v>
      </c>
      <c r="J52" s="30">
        <v>21</v>
      </c>
      <c r="K52" s="30"/>
      <c r="L52" s="30"/>
      <c r="M52" s="30"/>
      <c r="N52" s="30"/>
      <c r="O52" s="30"/>
      <c r="P52" s="30"/>
      <c r="Q52" s="31"/>
      <c r="R52" s="31"/>
      <c r="S52" s="31"/>
      <c r="T52" s="31"/>
      <c r="U52" s="31">
        <v>32</v>
      </c>
      <c r="V52" s="31"/>
      <c r="W52" s="31"/>
      <c r="X52" s="30"/>
      <c r="Y52" s="30"/>
      <c r="Z52" s="30"/>
      <c r="AA52" s="30"/>
      <c r="AB52" s="30"/>
      <c r="AC52" s="30"/>
      <c r="AD52" s="30"/>
      <c r="AE52" s="31"/>
      <c r="AF52" s="31"/>
      <c r="AG52" s="31"/>
      <c r="AH52" s="31"/>
      <c r="AI52" s="31"/>
      <c r="AJ52" s="31"/>
      <c r="AK52" s="31"/>
      <c r="AL52" s="30"/>
      <c r="AM52" s="30"/>
      <c r="AN52" s="30"/>
      <c r="AO52" s="30"/>
      <c r="AP52" s="30"/>
      <c r="AQ52" s="30"/>
      <c r="AR52" s="30"/>
      <c r="AS52" s="31"/>
      <c r="AT52" s="31"/>
      <c r="AU52" s="31"/>
      <c r="AV52" s="31"/>
      <c r="AW52" s="31"/>
      <c r="AX52" s="31"/>
      <c r="AY52" s="31"/>
      <c r="AZ52" s="30"/>
      <c r="BA52" s="30"/>
      <c r="BB52" s="30"/>
      <c r="BC52" s="30"/>
      <c r="BD52" s="30"/>
      <c r="BE52" s="30"/>
      <c r="BF52" s="30"/>
      <c r="BG52" s="31"/>
      <c r="BH52" s="31"/>
      <c r="BI52" s="31"/>
      <c r="BJ52" s="31"/>
      <c r="BK52" s="31"/>
      <c r="BL52" s="31"/>
      <c r="BM52" s="31"/>
    </row>
    <row r="53" spans="1:65" ht="12.75" x14ac:dyDescent="0.2">
      <c r="A53" s="1"/>
      <c r="B53" s="8" t="s">
        <v>157</v>
      </c>
      <c r="C53" s="8" t="s">
        <v>158</v>
      </c>
      <c r="D53" s="8">
        <v>50053</v>
      </c>
      <c r="E53" s="8" t="s">
        <v>44</v>
      </c>
      <c r="F53" s="8" t="s">
        <v>26</v>
      </c>
      <c r="G53" s="25">
        <f t="shared" si="2"/>
        <v>1</v>
      </c>
      <c r="H53" s="26">
        <f ca="1">IFERROR(__xludf.DUMMYFUNCTION("IFERROR(AVERAGE(FILTER(J53:ZZ53/J$4:ZZ$4, J53:ZZ53&lt;&gt;"""")), """")"),0.684210526315789)</f>
        <v>0.68421052631578905</v>
      </c>
      <c r="I53" s="27" t="s">
        <v>21</v>
      </c>
      <c r="J53" s="30">
        <v>26</v>
      </c>
      <c r="K53" s="30"/>
      <c r="L53" s="30"/>
      <c r="M53" s="30"/>
      <c r="N53" s="30"/>
      <c r="O53" s="30"/>
      <c r="P53" s="30"/>
      <c r="Q53" s="31"/>
      <c r="R53" s="31"/>
      <c r="S53" s="31"/>
      <c r="T53" s="31"/>
      <c r="U53" s="31"/>
      <c r="V53" s="31"/>
      <c r="W53" s="31"/>
      <c r="X53" s="30"/>
      <c r="Y53" s="30"/>
      <c r="Z53" s="30"/>
      <c r="AA53" s="30"/>
      <c r="AB53" s="30"/>
      <c r="AC53" s="30"/>
      <c r="AD53" s="30"/>
      <c r="AE53" s="31"/>
      <c r="AF53" s="31"/>
      <c r="AG53" s="31"/>
      <c r="AH53" s="31"/>
      <c r="AI53" s="31"/>
      <c r="AJ53" s="31"/>
      <c r="AK53" s="31"/>
      <c r="AL53" s="30"/>
      <c r="AM53" s="30"/>
      <c r="AN53" s="30"/>
      <c r="AO53" s="30"/>
      <c r="AP53" s="30"/>
      <c r="AQ53" s="30"/>
      <c r="AR53" s="30"/>
      <c r="AS53" s="31"/>
      <c r="AT53" s="31"/>
      <c r="AU53" s="31"/>
      <c r="AV53" s="31"/>
      <c r="AW53" s="31"/>
      <c r="AX53" s="31"/>
      <c r="AY53" s="31"/>
      <c r="AZ53" s="30"/>
      <c r="BA53" s="30"/>
      <c r="BB53" s="30"/>
      <c r="BC53" s="30"/>
      <c r="BD53" s="30"/>
      <c r="BE53" s="30"/>
      <c r="BF53" s="30"/>
      <c r="BG53" s="31"/>
      <c r="BH53" s="31"/>
      <c r="BI53" s="31"/>
      <c r="BJ53" s="31"/>
      <c r="BK53" s="31"/>
      <c r="BL53" s="31"/>
      <c r="BM53" s="31"/>
    </row>
    <row r="54" spans="1:65" ht="12.75" x14ac:dyDescent="0.2">
      <c r="A54" s="1"/>
      <c r="B54" s="8" t="s">
        <v>42</v>
      </c>
      <c r="C54" s="8" t="s">
        <v>43</v>
      </c>
      <c r="D54" s="8">
        <v>51070</v>
      </c>
      <c r="E54" s="8" t="s">
        <v>44</v>
      </c>
      <c r="F54" s="8" t="s">
        <v>26</v>
      </c>
      <c r="G54" s="25">
        <f t="shared" si="2"/>
        <v>1</v>
      </c>
      <c r="H54" s="26">
        <f ca="1">IFERROR(__xludf.DUMMYFUNCTION("IFERROR(AVERAGE(FILTER(J54:ZZ54/J$4:ZZ$4, J54:ZZ54&lt;&gt;"""")), """")"),0.861111111111111)</f>
        <v>0.86111111111111105</v>
      </c>
      <c r="I54" s="27" t="s">
        <v>21</v>
      </c>
      <c r="J54" s="30"/>
      <c r="K54" s="30"/>
      <c r="L54" s="30"/>
      <c r="M54" s="30"/>
      <c r="N54" s="30"/>
      <c r="O54" s="30"/>
      <c r="P54" s="30"/>
      <c r="Q54" s="31"/>
      <c r="R54" s="31"/>
      <c r="S54" s="31"/>
      <c r="T54" s="31"/>
      <c r="U54" s="31"/>
      <c r="V54" s="31"/>
      <c r="W54" s="31"/>
      <c r="X54" s="30"/>
      <c r="Y54" s="30"/>
      <c r="Z54" s="30"/>
      <c r="AA54" s="30"/>
      <c r="AB54" s="30"/>
      <c r="AC54" s="30"/>
      <c r="AD54" s="30"/>
      <c r="AE54" s="31"/>
      <c r="AF54" s="31"/>
      <c r="AG54" s="31"/>
      <c r="AH54" s="31"/>
      <c r="AI54" s="31"/>
      <c r="AJ54" s="31"/>
      <c r="AK54" s="31"/>
      <c r="AL54" s="30"/>
      <c r="AM54" s="30"/>
      <c r="AN54" s="30"/>
      <c r="AO54" s="30"/>
      <c r="AP54" s="30"/>
      <c r="AQ54" s="30"/>
      <c r="AR54" s="30"/>
      <c r="AS54" s="31">
        <v>31</v>
      </c>
      <c r="AT54" s="31"/>
      <c r="AU54" s="31"/>
      <c r="AV54" s="31"/>
      <c r="AW54" s="31"/>
      <c r="AX54" s="31"/>
      <c r="AY54" s="31"/>
      <c r="AZ54" s="30"/>
      <c r="BA54" s="30"/>
      <c r="BB54" s="30"/>
      <c r="BC54" s="30"/>
      <c r="BD54" s="30"/>
      <c r="BE54" s="30"/>
      <c r="BF54" s="30"/>
      <c r="BG54" s="31"/>
      <c r="BH54" s="31"/>
      <c r="BI54" s="31"/>
      <c r="BJ54" s="31"/>
      <c r="BK54" s="31"/>
      <c r="BL54" s="31"/>
      <c r="BM54" s="31"/>
    </row>
    <row r="55" spans="1:65" ht="12.75" x14ac:dyDescent="0.2">
      <c r="A55" s="1"/>
      <c r="B55" s="32"/>
      <c r="C55" s="32"/>
      <c r="D55" s="32"/>
      <c r="E55" s="32"/>
      <c r="F55" s="32"/>
      <c r="G55" s="33"/>
      <c r="H55" s="34"/>
      <c r="I55" s="35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</row>
    <row r="56" spans="1:65" ht="12.75" x14ac:dyDescent="0.2">
      <c r="A56" s="1"/>
      <c r="B56" s="8" t="s">
        <v>159</v>
      </c>
      <c r="C56" s="8" t="s">
        <v>82</v>
      </c>
      <c r="D56" s="8">
        <v>51210</v>
      </c>
      <c r="E56" s="8" t="s">
        <v>54</v>
      </c>
      <c r="F56" s="8" t="s">
        <v>75</v>
      </c>
      <c r="G56" s="25">
        <f t="shared" ref="G56:G84" si="3">COUNT(J56:ZZ56)</f>
        <v>1</v>
      </c>
      <c r="H56" s="26">
        <f ca="1">IFERROR(__xludf.DUMMYFUNCTION("IFERROR(AVERAGE(FILTER(J56:ZZ56/J$4:ZZ$4, J56:ZZ56&lt;&gt;"""")), """")"),0.675675675675675)</f>
        <v>0.67567567567567499</v>
      </c>
      <c r="I56" s="27" t="s">
        <v>21</v>
      </c>
      <c r="J56" s="30"/>
      <c r="K56" s="30"/>
      <c r="L56" s="30"/>
      <c r="M56" s="30"/>
      <c r="N56" s="30"/>
      <c r="O56" s="30"/>
      <c r="P56" s="30"/>
      <c r="Q56" s="31"/>
      <c r="R56" s="31"/>
      <c r="S56" s="31"/>
      <c r="T56" s="31"/>
      <c r="U56" s="31"/>
      <c r="V56" s="31"/>
      <c r="W56" s="31"/>
      <c r="X56" s="30"/>
      <c r="Y56" s="30"/>
      <c r="Z56" s="30"/>
      <c r="AA56" s="30"/>
      <c r="AB56" s="30"/>
      <c r="AC56" s="30"/>
      <c r="AD56" s="30"/>
      <c r="AE56" s="31"/>
      <c r="AF56" s="31"/>
      <c r="AG56" s="31"/>
      <c r="AH56" s="31"/>
      <c r="AI56" s="31"/>
      <c r="AJ56" s="31"/>
      <c r="AK56" s="31"/>
      <c r="AL56" s="30"/>
      <c r="AM56" s="30">
        <v>25</v>
      </c>
      <c r="AN56" s="30"/>
      <c r="AO56" s="30"/>
      <c r="AP56" s="30"/>
      <c r="AQ56" s="30"/>
      <c r="AR56" s="30"/>
      <c r="AS56" s="31"/>
      <c r="AT56" s="31"/>
      <c r="AU56" s="31"/>
      <c r="AV56" s="31"/>
      <c r="AW56" s="31"/>
      <c r="AX56" s="31"/>
      <c r="AY56" s="31"/>
      <c r="AZ56" s="30"/>
      <c r="BA56" s="30"/>
      <c r="BB56" s="30"/>
      <c r="BC56" s="30"/>
      <c r="BD56" s="30"/>
      <c r="BE56" s="30"/>
      <c r="BF56" s="30"/>
      <c r="BG56" s="31"/>
      <c r="BH56" s="31"/>
      <c r="BI56" s="31"/>
      <c r="BJ56" s="31"/>
      <c r="BK56" s="31"/>
      <c r="BL56" s="31"/>
      <c r="BM56" s="31"/>
    </row>
    <row r="57" spans="1:65" ht="12.75" x14ac:dyDescent="0.2">
      <c r="A57" s="1"/>
      <c r="B57" s="8" t="s">
        <v>55</v>
      </c>
      <c r="C57" s="8" t="s">
        <v>56</v>
      </c>
      <c r="D57" s="8">
        <v>51228</v>
      </c>
      <c r="E57" s="8" t="s">
        <v>54</v>
      </c>
      <c r="F57" s="8" t="s">
        <v>26</v>
      </c>
      <c r="G57" s="25">
        <f t="shared" si="3"/>
        <v>4</v>
      </c>
      <c r="H57" s="26">
        <f ca="1">IFERROR(__xludf.DUMMYFUNCTION("IFERROR(AVERAGE(FILTER(J57:ZZ57/J$4:ZZ$4, J57:ZZ57&lt;&gt;"""")), """")"),0.728242665742665)</f>
        <v>0.72824266574266505</v>
      </c>
      <c r="I57" s="27" t="s">
        <v>21</v>
      </c>
      <c r="J57" s="30"/>
      <c r="K57" s="30"/>
      <c r="L57" s="30"/>
      <c r="M57" s="30"/>
      <c r="N57" s="30"/>
      <c r="O57" s="30"/>
      <c r="P57" s="30"/>
      <c r="Q57" s="31"/>
      <c r="R57" s="31"/>
      <c r="S57" s="31"/>
      <c r="T57" s="31"/>
      <c r="U57" s="31"/>
      <c r="V57" s="31"/>
      <c r="W57" s="31"/>
      <c r="X57" s="30"/>
      <c r="Y57" s="30"/>
      <c r="Z57" s="30"/>
      <c r="AA57" s="30"/>
      <c r="AB57" s="30"/>
      <c r="AC57" s="30"/>
      <c r="AD57" s="30"/>
      <c r="AE57" s="31"/>
      <c r="AF57" s="31"/>
      <c r="AG57" s="31"/>
      <c r="AH57" s="31"/>
      <c r="AI57" s="31"/>
      <c r="AJ57" s="31"/>
      <c r="AK57" s="31"/>
      <c r="AL57" s="30"/>
      <c r="AM57" s="30">
        <v>22</v>
      </c>
      <c r="AN57" s="30"/>
      <c r="AO57" s="30"/>
      <c r="AP57" s="30">
        <v>33</v>
      </c>
      <c r="AQ57" s="30">
        <v>21</v>
      </c>
      <c r="AR57" s="30"/>
      <c r="AS57" s="31">
        <v>32</v>
      </c>
      <c r="AT57" s="31"/>
      <c r="AU57" s="31"/>
      <c r="AV57" s="31"/>
      <c r="AW57" s="31"/>
      <c r="AX57" s="31"/>
      <c r="AY57" s="31"/>
      <c r="AZ57" s="30"/>
      <c r="BA57" s="30"/>
      <c r="BB57" s="30"/>
      <c r="BC57" s="30"/>
      <c r="BD57" s="30"/>
      <c r="BE57" s="30"/>
      <c r="BF57" s="30"/>
      <c r="BG57" s="31"/>
      <c r="BH57" s="31"/>
      <c r="BI57" s="31"/>
      <c r="BJ57" s="31"/>
      <c r="BK57" s="31"/>
      <c r="BL57" s="31"/>
      <c r="BM57" s="31"/>
    </row>
    <row r="58" spans="1:65" ht="12.75" x14ac:dyDescent="0.2">
      <c r="A58" s="1"/>
      <c r="B58" s="8" t="s">
        <v>160</v>
      </c>
      <c r="C58" s="8" t="s">
        <v>125</v>
      </c>
      <c r="D58" s="8">
        <v>51157</v>
      </c>
      <c r="E58" s="8" t="s">
        <v>54</v>
      </c>
      <c r="F58" s="8" t="s">
        <v>75</v>
      </c>
      <c r="G58" s="25">
        <f t="shared" si="3"/>
        <v>3</v>
      </c>
      <c r="H58" s="26">
        <f ca="1">IFERROR(__xludf.DUMMYFUNCTION("IFERROR(AVERAGE(FILTER(J58:ZZ58/J$4:ZZ$4, J58:ZZ58&lt;&gt;"""")), """")"),0.659233894528012)</f>
        <v>0.65923389452801195</v>
      </c>
      <c r="I58" s="27" t="s">
        <v>21</v>
      </c>
      <c r="J58" s="30"/>
      <c r="K58" s="30"/>
      <c r="L58" s="30"/>
      <c r="M58" s="30"/>
      <c r="N58" s="30"/>
      <c r="O58" s="30"/>
      <c r="P58" s="30"/>
      <c r="Q58" s="31">
        <v>20</v>
      </c>
      <c r="R58" s="31"/>
      <c r="S58" s="31"/>
      <c r="T58" s="31"/>
      <c r="U58" s="31"/>
      <c r="V58" s="31"/>
      <c r="W58" s="31"/>
      <c r="X58" s="30">
        <v>31</v>
      </c>
      <c r="Y58" s="30"/>
      <c r="Z58" s="30"/>
      <c r="AA58" s="30"/>
      <c r="AB58" s="30"/>
      <c r="AC58" s="30"/>
      <c r="AD58" s="30"/>
      <c r="AE58" s="31"/>
      <c r="AF58" s="31"/>
      <c r="AG58" s="31"/>
      <c r="AH58" s="31"/>
      <c r="AI58" s="31"/>
      <c r="AJ58" s="31"/>
      <c r="AK58" s="31"/>
      <c r="AL58" s="30"/>
      <c r="AM58" s="30">
        <v>22</v>
      </c>
      <c r="AN58" s="30"/>
      <c r="AO58" s="30"/>
      <c r="AP58" s="30"/>
      <c r="AQ58" s="30"/>
      <c r="AR58" s="30"/>
      <c r="AS58" s="31"/>
      <c r="AT58" s="31"/>
      <c r="AU58" s="31"/>
      <c r="AV58" s="31"/>
      <c r="AW58" s="31"/>
      <c r="AX58" s="31"/>
      <c r="AY58" s="31"/>
      <c r="AZ58" s="30"/>
      <c r="BA58" s="30"/>
      <c r="BB58" s="30"/>
      <c r="BC58" s="30"/>
      <c r="BD58" s="30"/>
      <c r="BE58" s="30"/>
      <c r="BF58" s="30"/>
      <c r="BG58" s="31"/>
      <c r="BH58" s="31"/>
      <c r="BI58" s="31"/>
      <c r="BJ58" s="31"/>
      <c r="BK58" s="31"/>
      <c r="BL58" s="31"/>
      <c r="BM58" s="31"/>
    </row>
    <row r="59" spans="1:65" ht="12.75" x14ac:dyDescent="0.2">
      <c r="A59" s="1"/>
      <c r="B59" s="8" t="s">
        <v>50</v>
      </c>
      <c r="C59" s="8" t="s">
        <v>161</v>
      </c>
      <c r="D59" s="8">
        <v>50334</v>
      </c>
      <c r="E59" s="8" t="s">
        <v>54</v>
      </c>
      <c r="F59" s="8" t="s">
        <v>26</v>
      </c>
      <c r="G59" s="25">
        <f t="shared" si="3"/>
        <v>1</v>
      </c>
      <c r="H59" s="26">
        <f ca="1">IFERROR(__xludf.DUMMYFUNCTION("IFERROR(AVERAGE(FILTER(J59:ZZ59/J$4:ZZ$4, J59:ZZ59&lt;&gt;"""")), """")"),0.657894736842105)</f>
        <v>0.65789473684210498</v>
      </c>
      <c r="I59" s="27" t="s">
        <v>21</v>
      </c>
      <c r="J59" s="30"/>
      <c r="K59" s="30"/>
      <c r="L59" s="30"/>
      <c r="M59" s="30"/>
      <c r="N59" s="30"/>
      <c r="O59" s="30"/>
      <c r="P59" s="30"/>
      <c r="Q59" s="31"/>
      <c r="R59" s="31"/>
      <c r="S59" s="31"/>
      <c r="T59" s="31"/>
      <c r="U59" s="31"/>
      <c r="V59" s="31"/>
      <c r="W59" s="31">
        <v>25</v>
      </c>
      <c r="X59" s="30"/>
      <c r="Y59" s="30"/>
      <c r="Z59" s="30"/>
      <c r="AA59" s="30"/>
      <c r="AB59" s="30"/>
      <c r="AC59" s="30"/>
      <c r="AD59" s="30"/>
      <c r="AE59" s="31"/>
      <c r="AF59" s="31"/>
      <c r="AG59" s="31"/>
      <c r="AH59" s="31"/>
      <c r="AI59" s="31"/>
      <c r="AJ59" s="31"/>
      <c r="AK59" s="31"/>
      <c r="AL59" s="30"/>
      <c r="AM59" s="30"/>
      <c r="AN59" s="30"/>
      <c r="AO59" s="30"/>
      <c r="AP59" s="30"/>
      <c r="AQ59" s="30"/>
      <c r="AR59" s="30"/>
      <c r="AS59" s="31"/>
      <c r="AT59" s="31"/>
      <c r="AU59" s="31"/>
      <c r="AV59" s="31"/>
      <c r="AW59" s="31"/>
      <c r="AX59" s="31"/>
      <c r="AY59" s="31"/>
      <c r="AZ59" s="30"/>
      <c r="BA59" s="30"/>
      <c r="BB59" s="30"/>
      <c r="BC59" s="30"/>
      <c r="BD59" s="30"/>
      <c r="BE59" s="30"/>
      <c r="BF59" s="30"/>
      <c r="BG59" s="31"/>
      <c r="BH59" s="31"/>
      <c r="BI59" s="31"/>
      <c r="BJ59" s="31"/>
      <c r="BK59" s="31"/>
      <c r="BL59" s="31"/>
      <c r="BM59" s="31"/>
    </row>
    <row r="60" spans="1:65" ht="12.75" x14ac:dyDescent="0.2">
      <c r="A60" s="1"/>
      <c r="B60" s="8" t="s">
        <v>50</v>
      </c>
      <c r="C60" s="8" t="s">
        <v>131</v>
      </c>
      <c r="D60" s="8">
        <v>50194</v>
      </c>
      <c r="E60" s="8" t="s">
        <v>54</v>
      </c>
      <c r="F60" s="8" t="s">
        <v>26</v>
      </c>
      <c r="G60" s="25">
        <f t="shared" si="3"/>
        <v>1</v>
      </c>
      <c r="H60" s="26">
        <f ca="1">IFERROR(__xludf.DUMMYFUNCTION("IFERROR(AVERAGE(FILTER(J60:ZZ60/J$4:ZZ$4, J60:ZZ60&lt;&gt;"""")), """")"),0.657142857142857)</f>
        <v>0.65714285714285703</v>
      </c>
      <c r="I60" s="27" t="s">
        <v>21</v>
      </c>
      <c r="J60" s="30"/>
      <c r="K60" s="30"/>
      <c r="L60" s="30"/>
      <c r="M60" s="30"/>
      <c r="N60" s="30"/>
      <c r="O60" s="30"/>
      <c r="P60" s="30"/>
      <c r="Q60" s="31"/>
      <c r="R60" s="31"/>
      <c r="S60" s="31"/>
      <c r="T60" s="31"/>
      <c r="U60" s="31"/>
      <c r="V60" s="31"/>
      <c r="W60" s="31"/>
      <c r="X60" s="30"/>
      <c r="Y60" s="30"/>
      <c r="Z60" s="30"/>
      <c r="AA60" s="30"/>
      <c r="AB60" s="30"/>
      <c r="AC60" s="30"/>
      <c r="AD60" s="30"/>
      <c r="AE60" s="31"/>
      <c r="AF60" s="31">
        <v>23</v>
      </c>
      <c r="AG60" s="31"/>
      <c r="AH60" s="31"/>
      <c r="AI60" s="31"/>
      <c r="AJ60" s="31"/>
      <c r="AK60" s="31"/>
      <c r="AL60" s="30"/>
      <c r="AM60" s="30"/>
      <c r="AN60" s="30"/>
      <c r="AO60" s="30"/>
      <c r="AP60" s="30"/>
      <c r="AQ60" s="30"/>
      <c r="AR60" s="30"/>
      <c r="AS60" s="31"/>
      <c r="AT60" s="31"/>
      <c r="AU60" s="31"/>
      <c r="AV60" s="31"/>
      <c r="AW60" s="31"/>
      <c r="AX60" s="31"/>
      <c r="AY60" s="31"/>
      <c r="AZ60" s="30"/>
      <c r="BA60" s="30"/>
      <c r="BB60" s="30"/>
      <c r="BC60" s="30"/>
      <c r="BD60" s="30"/>
      <c r="BE60" s="30"/>
      <c r="BF60" s="30"/>
      <c r="BG60" s="31"/>
      <c r="BH60" s="31"/>
      <c r="BI60" s="31"/>
      <c r="BJ60" s="31"/>
      <c r="BK60" s="31"/>
      <c r="BL60" s="31"/>
      <c r="BM60" s="31"/>
    </row>
    <row r="61" spans="1:65" ht="12.75" x14ac:dyDescent="0.2">
      <c r="A61" s="1"/>
      <c r="B61" s="8" t="s">
        <v>162</v>
      </c>
      <c r="C61" s="8" t="s">
        <v>163</v>
      </c>
      <c r="D61" s="8">
        <v>51197</v>
      </c>
      <c r="E61" s="8" t="s">
        <v>54</v>
      </c>
      <c r="F61" s="8" t="s">
        <v>26</v>
      </c>
      <c r="G61" s="25">
        <f t="shared" si="3"/>
        <v>8</v>
      </c>
      <c r="H61" s="26">
        <f ca="1">IFERROR(__xludf.DUMMYFUNCTION("IFERROR(AVERAGE(FILTER(J61:ZZ61/J$4:ZZ$4, J61:ZZ61&lt;&gt;"""")), """")"),0.649297708672708)</f>
        <v>0.64929770867270797</v>
      </c>
      <c r="I61" s="27" t="s">
        <v>21</v>
      </c>
      <c r="J61" s="30"/>
      <c r="K61" s="30"/>
      <c r="L61" s="30"/>
      <c r="M61" s="30"/>
      <c r="N61" s="30"/>
      <c r="O61" s="30"/>
      <c r="P61" s="30"/>
      <c r="Q61" s="31"/>
      <c r="R61" s="31"/>
      <c r="S61" s="31"/>
      <c r="T61" s="31"/>
      <c r="U61" s="31"/>
      <c r="V61" s="31"/>
      <c r="W61" s="31">
        <v>19</v>
      </c>
      <c r="X61" s="30"/>
      <c r="Y61" s="30">
        <v>23</v>
      </c>
      <c r="Z61" s="30">
        <v>23</v>
      </c>
      <c r="AA61" s="30">
        <v>29</v>
      </c>
      <c r="AB61" s="30">
        <v>23</v>
      </c>
      <c r="AC61" s="30"/>
      <c r="AD61" s="30"/>
      <c r="AE61" s="31"/>
      <c r="AF61" s="31">
        <v>23</v>
      </c>
      <c r="AG61" s="31"/>
      <c r="AH61" s="31"/>
      <c r="AI61" s="31"/>
      <c r="AJ61" s="31"/>
      <c r="AK61" s="31"/>
      <c r="AL61" s="30">
        <v>34</v>
      </c>
      <c r="AM61" s="30">
        <v>17</v>
      </c>
      <c r="AN61" s="30"/>
      <c r="AO61" s="30"/>
      <c r="AP61" s="30"/>
      <c r="AQ61" s="30"/>
      <c r="AR61" s="30"/>
      <c r="AS61" s="31"/>
      <c r="AT61" s="31"/>
      <c r="AU61" s="31"/>
      <c r="AV61" s="31"/>
      <c r="AW61" s="31"/>
      <c r="AX61" s="31"/>
      <c r="AY61" s="31"/>
      <c r="AZ61" s="30"/>
      <c r="BA61" s="30"/>
      <c r="BB61" s="30"/>
      <c r="BC61" s="30"/>
      <c r="BD61" s="30"/>
      <c r="BE61" s="30"/>
      <c r="BF61" s="30"/>
      <c r="BG61" s="31"/>
      <c r="BH61" s="31"/>
      <c r="BI61" s="31"/>
      <c r="BJ61" s="31"/>
      <c r="BK61" s="31"/>
      <c r="BL61" s="31"/>
      <c r="BM61" s="31"/>
    </row>
    <row r="62" spans="1:65" ht="12.75" x14ac:dyDescent="0.2">
      <c r="A62" s="1"/>
      <c r="B62" s="8" t="s">
        <v>124</v>
      </c>
      <c r="C62" s="8" t="s">
        <v>164</v>
      </c>
      <c r="D62" s="8">
        <v>50660</v>
      </c>
      <c r="E62" s="8" t="s">
        <v>54</v>
      </c>
      <c r="F62" s="8" t="s">
        <v>32</v>
      </c>
      <c r="G62" s="25">
        <f t="shared" si="3"/>
        <v>1</v>
      </c>
      <c r="H62" s="26">
        <f ca="1">IFERROR(__xludf.DUMMYFUNCTION("IFERROR(AVERAGE(FILTER(J62:ZZ62/J$4:ZZ$4, J62:ZZ62&lt;&gt;"""")), """")"),0.621621621621621)</f>
        <v>0.62162162162162105</v>
      </c>
      <c r="I62" s="27" t="s">
        <v>21</v>
      </c>
      <c r="J62" s="30"/>
      <c r="K62" s="30"/>
      <c r="L62" s="30"/>
      <c r="M62" s="30"/>
      <c r="N62" s="30"/>
      <c r="O62" s="30"/>
      <c r="P62" s="30"/>
      <c r="Q62" s="31"/>
      <c r="R62" s="31"/>
      <c r="S62" s="31"/>
      <c r="T62" s="31"/>
      <c r="U62" s="31"/>
      <c r="V62" s="31">
        <v>23</v>
      </c>
      <c r="W62" s="31"/>
      <c r="X62" s="30"/>
      <c r="Y62" s="30"/>
      <c r="Z62" s="30"/>
      <c r="AA62" s="30"/>
      <c r="AB62" s="30"/>
      <c r="AC62" s="30"/>
      <c r="AD62" s="30"/>
      <c r="AE62" s="31"/>
      <c r="AF62" s="31"/>
      <c r="AG62" s="31"/>
      <c r="AH62" s="31"/>
      <c r="AI62" s="31"/>
      <c r="AJ62" s="31"/>
      <c r="AK62" s="31"/>
      <c r="AL62" s="30"/>
      <c r="AM62" s="30"/>
      <c r="AN62" s="30"/>
      <c r="AO62" s="30"/>
      <c r="AP62" s="30"/>
      <c r="AQ62" s="30"/>
      <c r="AR62" s="30"/>
      <c r="AS62" s="31"/>
      <c r="AT62" s="31"/>
      <c r="AU62" s="31"/>
      <c r="AV62" s="31"/>
      <c r="AW62" s="31"/>
      <c r="AX62" s="31"/>
      <c r="AY62" s="31"/>
      <c r="AZ62" s="30"/>
      <c r="BA62" s="30"/>
      <c r="BB62" s="30"/>
      <c r="BC62" s="30"/>
      <c r="BD62" s="30"/>
      <c r="BE62" s="30"/>
      <c r="BF62" s="30"/>
      <c r="BG62" s="31"/>
      <c r="BH62" s="31"/>
      <c r="BI62" s="31"/>
      <c r="BJ62" s="31"/>
      <c r="BK62" s="31"/>
      <c r="BL62" s="31"/>
      <c r="BM62" s="31"/>
    </row>
    <row r="63" spans="1:65" ht="12.75" x14ac:dyDescent="0.2">
      <c r="A63" s="1"/>
      <c r="B63" s="8" t="s">
        <v>104</v>
      </c>
      <c r="C63" s="8" t="s">
        <v>165</v>
      </c>
      <c r="D63" s="8">
        <v>51227</v>
      </c>
      <c r="E63" s="8" t="s">
        <v>54</v>
      </c>
      <c r="F63" s="8" t="s">
        <v>75</v>
      </c>
      <c r="G63" s="25">
        <f t="shared" si="3"/>
        <v>1</v>
      </c>
      <c r="H63" s="26">
        <f ca="1">IFERROR(__xludf.DUMMYFUNCTION("IFERROR(AVERAGE(FILTER(J63:ZZ63/J$4:ZZ$4, J63:ZZ63&lt;&gt;"""")), """")"),0.621621621621621)</f>
        <v>0.62162162162162105</v>
      </c>
      <c r="I63" s="27" t="s">
        <v>21</v>
      </c>
      <c r="J63" s="30"/>
      <c r="K63" s="30"/>
      <c r="L63" s="30"/>
      <c r="M63" s="30"/>
      <c r="N63" s="30"/>
      <c r="O63" s="30"/>
      <c r="P63" s="30"/>
      <c r="Q63" s="31"/>
      <c r="R63" s="31"/>
      <c r="S63" s="31"/>
      <c r="T63" s="31"/>
      <c r="U63" s="31"/>
      <c r="V63" s="31"/>
      <c r="W63" s="31"/>
      <c r="X63" s="30"/>
      <c r="Y63" s="30"/>
      <c r="Z63" s="30"/>
      <c r="AA63" s="30"/>
      <c r="AB63" s="30"/>
      <c r="AC63" s="30"/>
      <c r="AD63" s="30"/>
      <c r="AE63" s="31"/>
      <c r="AF63" s="31"/>
      <c r="AG63" s="31"/>
      <c r="AH63" s="31"/>
      <c r="AI63" s="31"/>
      <c r="AJ63" s="31"/>
      <c r="AK63" s="31"/>
      <c r="AL63" s="30"/>
      <c r="AM63" s="30">
        <v>23</v>
      </c>
      <c r="AN63" s="30"/>
      <c r="AO63" s="30"/>
      <c r="AP63" s="30"/>
      <c r="AQ63" s="30"/>
      <c r="AR63" s="30"/>
      <c r="AS63" s="31"/>
      <c r="AT63" s="31"/>
      <c r="AU63" s="31"/>
      <c r="AV63" s="31"/>
      <c r="AW63" s="31"/>
      <c r="AX63" s="31"/>
      <c r="AY63" s="31"/>
      <c r="AZ63" s="30"/>
      <c r="BA63" s="30"/>
      <c r="BB63" s="30"/>
      <c r="BC63" s="30"/>
      <c r="BD63" s="30"/>
      <c r="BE63" s="30"/>
      <c r="BF63" s="30"/>
      <c r="BG63" s="31"/>
      <c r="BH63" s="31"/>
      <c r="BI63" s="31"/>
      <c r="BJ63" s="31"/>
      <c r="BK63" s="31"/>
      <c r="BL63" s="31"/>
      <c r="BM63" s="31"/>
    </row>
    <row r="64" spans="1:65" ht="12.75" x14ac:dyDescent="0.2">
      <c r="A64" s="1"/>
      <c r="B64" s="8" t="s">
        <v>166</v>
      </c>
      <c r="C64" s="8" t="s">
        <v>34</v>
      </c>
      <c r="D64" s="8">
        <v>51032</v>
      </c>
      <c r="E64" s="8" t="s">
        <v>54</v>
      </c>
      <c r="F64" s="8" t="s">
        <v>26</v>
      </c>
      <c r="G64" s="25">
        <f t="shared" si="3"/>
        <v>1</v>
      </c>
      <c r="H64" s="26">
        <f ca="1">IFERROR(__xludf.DUMMYFUNCTION("IFERROR(AVERAGE(FILTER(J64:ZZ64/J$4:ZZ$4, J64:ZZ64&lt;&gt;"""")), """")"),0.605263157894736)</f>
        <v>0.60526315789473595</v>
      </c>
      <c r="I64" s="27" t="s">
        <v>21</v>
      </c>
      <c r="J64" s="30">
        <v>23</v>
      </c>
      <c r="K64" s="30"/>
      <c r="L64" s="30"/>
      <c r="M64" s="30"/>
      <c r="N64" s="30"/>
      <c r="O64" s="30"/>
      <c r="P64" s="30"/>
      <c r="Q64" s="31"/>
      <c r="R64" s="31"/>
      <c r="S64" s="31"/>
      <c r="T64" s="31"/>
      <c r="U64" s="31"/>
      <c r="V64" s="31"/>
      <c r="W64" s="31"/>
      <c r="X64" s="30"/>
      <c r="Y64" s="30"/>
      <c r="Z64" s="30"/>
      <c r="AA64" s="30"/>
      <c r="AB64" s="30"/>
      <c r="AC64" s="30"/>
      <c r="AD64" s="30"/>
      <c r="AE64" s="31"/>
      <c r="AF64" s="31"/>
      <c r="AG64" s="31"/>
      <c r="AH64" s="31"/>
      <c r="AI64" s="31"/>
      <c r="AJ64" s="31"/>
      <c r="AK64" s="31"/>
      <c r="AL64" s="30"/>
      <c r="AM64" s="30"/>
      <c r="AN64" s="30"/>
      <c r="AO64" s="30"/>
      <c r="AP64" s="30"/>
      <c r="AQ64" s="30"/>
      <c r="AR64" s="30"/>
      <c r="AS64" s="31"/>
      <c r="AT64" s="31"/>
      <c r="AU64" s="31"/>
      <c r="AV64" s="31"/>
      <c r="AW64" s="31"/>
      <c r="AX64" s="31"/>
      <c r="AY64" s="31"/>
      <c r="AZ64" s="30"/>
      <c r="BA64" s="30"/>
      <c r="BB64" s="30"/>
      <c r="BC64" s="30"/>
      <c r="BD64" s="30"/>
      <c r="BE64" s="30"/>
      <c r="BF64" s="30"/>
      <c r="BG64" s="31"/>
      <c r="BH64" s="31"/>
      <c r="BI64" s="31"/>
      <c r="BJ64" s="31"/>
      <c r="BK64" s="31"/>
      <c r="BL64" s="31"/>
      <c r="BM64" s="31"/>
    </row>
    <row r="65" spans="1:65" ht="12.75" x14ac:dyDescent="0.2">
      <c r="A65" s="1"/>
      <c r="B65" s="8" t="s">
        <v>59</v>
      </c>
      <c r="C65" s="8" t="s">
        <v>60</v>
      </c>
      <c r="D65" s="8">
        <v>51213</v>
      </c>
      <c r="E65" s="8" t="s">
        <v>54</v>
      </c>
      <c r="F65" s="8" t="s">
        <v>26</v>
      </c>
      <c r="G65" s="25">
        <f t="shared" si="3"/>
        <v>3</v>
      </c>
      <c r="H65" s="26">
        <f ca="1">IFERROR(__xludf.DUMMYFUNCTION("IFERROR(AVERAGE(FILTER(J65:ZZ65/J$4:ZZ$4, J65:ZZ65&lt;&gt;"""")), """")"),0.631054131054131)</f>
        <v>0.631054131054131</v>
      </c>
      <c r="I65" s="27" t="s">
        <v>21</v>
      </c>
      <c r="J65" s="30"/>
      <c r="K65" s="30"/>
      <c r="L65" s="30"/>
      <c r="M65" s="30"/>
      <c r="N65" s="30"/>
      <c r="O65" s="30"/>
      <c r="P65" s="30"/>
      <c r="Q65" s="31"/>
      <c r="R65" s="31"/>
      <c r="S65" s="31"/>
      <c r="T65" s="31"/>
      <c r="U65" s="31"/>
      <c r="V65" s="31"/>
      <c r="W65" s="31"/>
      <c r="X65" s="30"/>
      <c r="Y65" s="30"/>
      <c r="Z65" s="30"/>
      <c r="AA65" s="30"/>
      <c r="AB65" s="30"/>
      <c r="AC65" s="30"/>
      <c r="AD65" s="30"/>
      <c r="AE65" s="31"/>
      <c r="AF65" s="31"/>
      <c r="AG65" s="31"/>
      <c r="AH65" s="31"/>
      <c r="AI65" s="31"/>
      <c r="AJ65" s="31"/>
      <c r="AK65" s="31"/>
      <c r="AL65" s="30"/>
      <c r="AM65" s="30"/>
      <c r="AN65" s="30"/>
      <c r="AO65" s="30"/>
      <c r="AP65" s="30">
        <v>24</v>
      </c>
      <c r="AQ65" s="30">
        <v>21</v>
      </c>
      <c r="AR65" s="30"/>
      <c r="AS65" s="31">
        <v>25</v>
      </c>
      <c r="AT65" s="31"/>
      <c r="AU65" s="31"/>
      <c r="AV65" s="31"/>
      <c r="AW65" s="31"/>
      <c r="AX65" s="31"/>
      <c r="AY65" s="31"/>
      <c r="AZ65" s="30"/>
      <c r="BA65" s="30"/>
      <c r="BB65" s="30"/>
      <c r="BC65" s="30"/>
      <c r="BD65" s="30"/>
      <c r="BE65" s="30"/>
      <c r="BF65" s="30"/>
      <c r="BG65" s="31"/>
      <c r="BH65" s="31"/>
      <c r="BI65" s="31"/>
      <c r="BJ65" s="31"/>
      <c r="BK65" s="31"/>
      <c r="BL65" s="31"/>
      <c r="BM65" s="31"/>
    </row>
    <row r="66" spans="1:65" ht="12.75" x14ac:dyDescent="0.2">
      <c r="A66" s="1"/>
      <c r="B66" s="8" t="s">
        <v>31</v>
      </c>
      <c r="C66" s="8" t="s">
        <v>34</v>
      </c>
      <c r="D66" s="8">
        <v>51196</v>
      </c>
      <c r="E66" s="8" t="s">
        <v>54</v>
      </c>
      <c r="F66" s="8" t="s">
        <v>26</v>
      </c>
      <c r="G66" s="25">
        <f t="shared" si="3"/>
        <v>9</v>
      </c>
      <c r="H66" s="26">
        <f ca="1">IFERROR(__xludf.DUMMYFUNCTION("IFERROR(AVERAGE(FILTER(J66:ZZ66/J$4:ZZ$4, J66:ZZ66&lt;&gt;"""")), """")"),0.595650045650045)</f>
        <v>0.59565004565004498</v>
      </c>
      <c r="I66" s="27" t="s">
        <v>21</v>
      </c>
      <c r="J66" s="30"/>
      <c r="K66" s="30"/>
      <c r="L66" s="30"/>
      <c r="M66" s="30"/>
      <c r="N66" s="30"/>
      <c r="O66" s="30"/>
      <c r="P66" s="30"/>
      <c r="Q66" s="31"/>
      <c r="R66" s="31">
        <v>20</v>
      </c>
      <c r="S66" s="31"/>
      <c r="T66" s="31">
        <v>23</v>
      </c>
      <c r="U66" s="31">
        <v>23</v>
      </c>
      <c r="V66" s="31"/>
      <c r="W66" s="31"/>
      <c r="X66" s="30">
        <v>26</v>
      </c>
      <c r="Y66" s="30"/>
      <c r="Z66" s="30"/>
      <c r="AA66" s="30">
        <v>22</v>
      </c>
      <c r="AB66" s="30">
        <v>18</v>
      </c>
      <c r="AC66" s="30"/>
      <c r="AD66" s="30"/>
      <c r="AE66" s="31">
        <v>24</v>
      </c>
      <c r="AF66" s="31">
        <v>20</v>
      </c>
      <c r="AG66" s="31"/>
      <c r="AH66" s="31"/>
      <c r="AI66" s="31"/>
      <c r="AJ66" s="31"/>
      <c r="AK66" s="31"/>
      <c r="AL66" s="30"/>
      <c r="AM66" s="30">
        <v>24</v>
      </c>
      <c r="AN66" s="30"/>
      <c r="AO66" s="30"/>
      <c r="AP66" s="30"/>
      <c r="AQ66" s="30"/>
      <c r="AR66" s="30"/>
      <c r="AS66" s="31"/>
      <c r="AT66" s="31"/>
      <c r="AU66" s="31"/>
      <c r="AV66" s="31"/>
      <c r="AW66" s="31"/>
      <c r="AX66" s="31"/>
      <c r="AY66" s="31"/>
      <c r="AZ66" s="30"/>
      <c r="BA66" s="30"/>
      <c r="BB66" s="30"/>
      <c r="BC66" s="30"/>
      <c r="BD66" s="30"/>
      <c r="BE66" s="30"/>
      <c r="BF66" s="30"/>
      <c r="BG66" s="31"/>
      <c r="BH66" s="31"/>
      <c r="BI66" s="31"/>
      <c r="BJ66" s="31"/>
      <c r="BK66" s="31"/>
      <c r="BL66" s="31"/>
      <c r="BM66" s="31"/>
    </row>
    <row r="67" spans="1:65" ht="12.75" x14ac:dyDescent="0.2">
      <c r="A67" s="1"/>
      <c r="B67" s="8" t="s">
        <v>42</v>
      </c>
      <c r="C67" s="8" t="s">
        <v>28</v>
      </c>
      <c r="D67" s="8">
        <v>21893</v>
      </c>
      <c r="E67" s="8" t="s">
        <v>54</v>
      </c>
      <c r="F67" s="8" t="s">
        <v>132</v>
      </c>
      <c r="G67" s="25">
        <f t="shared" si="3"/>
        <v>1</v>
      </c>
      <c r="H67" s="26">
        <f ca="1">IFERROR(__xludf.DUMMYFUNCTION("IFERROR(AVERAGE(FILTER(J67:ZZ67/J$4:ZZ$4, J67:ZZ67&lt;&gt;"""")), """")"),0.588235294117647)</f>
        <v>0.58823529411764697</v>
      </c>
      <c r="I67" s="27" t="s">
        <v>21</v>
      </c>
      <c r="J67" s="30"/>
      <c r="K67" s="30"/>
      <c r="L67" s="30"/>
      <c r="M67" s="30"/>
      <c r="N67" s="30"/>
      <c r="O67" s="30"/>
      <c r="P67" s="30"/>
      <c r="Q67" s="31">
        <v>20</v>
      </c>
      <c r="R67" s="31"/>
      <c r="S67" s="31"/>
      <c r="T67" s="31"/>
      <c r="U67" s="31"/>
      <c r="V67" s="31"/>
      <c r="W67" s="31"/>
      <c r="X67" s="30"/>
      <c r="Y67" s="30"/>
      <c r="Z67" s="30"/>
      <c r="AA67" s="30"/>
      <c r="AB67" s="30"/>
      <c r="AC67" s="30"/>
      <c r="AD67" s="30"/>
      <c r="AE67" s="31"/>
      <c r="AF67" s="31"/>
      <c r="AG67" s="31"/>
      <c r="AH67" s="31"/>
      <c r="AI67" s="31"/>
      <c r="AJ67" s="31"/>
      <c r="AK67" s="31"/>
      <c r="AL67" s="30"/>
      <c r="AM67" s="30"/>
      <c r="AN67" s="30"/>
      <c r="AO67" s="30"/>
      <c r="AP67" s="30"/>
      <c r="AQ67" s="30"/>
      <c r="AR67" s="30"/>
      <c r="AS67" s="31"/>
      <c r="AT67" s="31"/>
      <c r="AU67" s="31"/>
      <c r="AV67" s="31"/>
      <c r="AW67" s="31"/>
      <c r="AX67" s="31"/>
      <c r="AY67" s="31"/>
      <c r="AZ67" s="30"/>
      <c r="BA67" s="30"/>
      <c r="BB67" s="30"/>
      <c r="BC67" s="30"/>
      <c r="BD67" s="30"/>
      <c r="BE67" s="30"/>
      <c r="BF67" s="30"/>
      <c r="BG67" s="31"/>
      <c r="BH67" s="31"/>
      <c r="BI67" s="31"/>
      <c r="BJ67" s="31"/>
      <c r="BK67" s="31"/>
      <c r="BL67" s="31"/>
      <c r="BM67" s="31"/>
    </row>
    <row r="68" spans="1:65" ht="12.75" x14ac:dyDescent="0.2">
      <c r="A68" s="1"/>
      <c r="B68" s="8" t="s">
        <v>167</v>
      </c>
      <c r="C68" s="8" t="s">
        <v>116</v>
      </c>
      <c r="D68" s="8">
        <v>51058</v>
      </c>
      <c r="E68" s="8" t="s">
        <v>54</v>
      </c>
      <c r="F68" s="8" t="s">
        <v>32</v>
      </c>
      <c r="G68" s="25">
        <f t="shared" si="3"/>
        <v>1</v>
      </c>
      <c r="H68" s="26">
        <f ca="1">IFERROR(__xludf.DUMMYFUNCTION("IFERROR(AVERAGE(FILTER(J68:ZZ68/J$4:ZZ$4, J68:ZZ68&lt;&gt;"""")), """")"),0.564102564102564)</f>
        <v>0.56410256410256399</v>
      </c>
      <c r="I68" s="27" t="s">
        <v>21</v>
      </c>
      <c r="J68" s="30"/>
      <c r="K68" s="30"/>
      <c r="L68" s="30"/>
      <c r="M68" s="30"/>
      <c r="N68" s="30"/>
      <c r="O68" s="30"/>
      <c r="P68" s="30"/>
      <c r="Q68" s="31"/>
      <c r="R68" s="31"/>
      <c r="S68" s="31"/>
      <c r="T68" s="31"/>
      <c r="U68" s="31">
        <v>22</v>
      </c>
      <c r="V68" s="31"/>
      <c r="W68" s="31"/>
      <c r="X68" s="30"/>
      <c r="Y68" s="30"/>
      <c r="Z68" s="30"/>
      <c r="AA68" s="30"/>
      <c r="AB68" s="30"/>
      <c r="AC68" s="30"/>
      <c r="AD68" s="30"/>
      <c r="AE68" s="31"/>
      <c r="AF68" s="31"/>
      <c r="AG68" s="31"/>
      <c r="AH68" s="31"/>
      <c r="AI68" s="31"/>
      <c r="AJ68" s="31"/>
      <c r="AK68" s="31"/>
      <c r="AL68" s="30"/>
      <c r="AM68" s="30"/>
      <c r="AN68" s="30"/>
      <c r="AO68" s="30"/>
      <c r="AP68" s="30"/>
      <c r="AQ68" s="30"/>
      <c r="AR68" s="30"/>
      <c r="AS68" s="31"/>
      <c r="AT68" s="31"/>
      <c r="AU68" s="31"/>
      <c r="AV68" s="31"/>
      <c r="AW68" s="31"/>
      <c r="AX68" s="31"/>
      <c r="AY68" s="31"/>
      <c r="AZ68" s="30"/>
      <c r="BA68" s="30"/>
      <c r="BB68" s="30"/>
      <c r="BC68" s="30"/>
      <c r="BD68" s="30"/>
      <c r="BE68" s="30"/>
      <c r="BF68" s="30"/>
      <c r="BG68" s="31"/>
      <c r="BH68" s="31"/>
      <c r="BI68" s="31"/>
      <c r="BJ68" s="31"/>
      <c r="BK68" s="31"/>
      <c r="BL68" s="31"/>
      <c r="BM68" s="31"/>
    </row>
    <row r="69" spans="1:65" ht="12.75" x14ac:dyDescent="0.2">
      <c r="A69" s="1"/>
      <c r="B69" s="8" t="s">
        <v>168</v>
      </c>
      <c r="C69" s="8" t="s">
        <v>40</v>
      </c>
      <c r="D69" s="8">
        <v>60201</v>
      </c>
      <c r="E69" s="8" t="s">
        <v>54</v>
      </c>
      <c r="F69" s="8" t="s">
        <v>41</v>
      </c>
      <c r="G69" s="25">
        <f t="shared" si="3"/>
        <v>1</v>
      </c>
      <c r="H69" s="26">
        <f ca="1">IFERROR(__xludf.DUMMYFUNCTION("IFERROR(AVERAGE(FILTER(J69:ZZ69/J$4:ZZ$4, J69:ZZ69&lt;&gt;"""")), """")"),0.552631578947368)</f>
        <v>0.55263157894736803</v>
      </c>
      <c r="I69" s="27" t="s">
        <v>21</v>
      </c>
      <c r="J69" s="30">
        <v>21</v>
      </c>
      <c r="K69" s="30"/>
      <c r="L69" s="30"/>
      <c r="M69" s="30"/>
      <c r="N69" s="30"/>
      <c r="O69" s="30"/>
      <c r="P69" s="30"/>
      <c r="Q69" s="31"/>
      <c r="R69" s="31"/>
      <c r="S69" s="31"/>
      <c r="T69" s="31"/>
      <c r="U69" s="31"/>
      <c r="V69" s="31"/>
      <c r="W69" s="31"/>
      <c r="X69" s="30"/>
      <c r="Y69" s="30"/>
      <c r="Z69" s="30"/>
      <c r="AA69" s="30"/>
      <c r="AB69" s="30"/>
      <c r="AC69" s="30"/>
      <c r="AD69" s="30"/>
      <c r="AE69" s="31"/>
      <c r="AF69" s="31"/>
      <c r="AG69" s="31"/>
      <c r="AH69" s="31"/>
      <c r="AI69" s="31"/>
      <c r="AJ69" s="31"/>
      <c r="AK69" s="31"/>
      <c r="AL69" s="30"/>
      <c r="AM69" s="30"/>
      <c r="AN69" s="30"/>
      <c r="AO69" s="30"/>
      <c r="AP69" s="30"/>
      <c r="AQ69" s="30"/>
      <c r="AR69" s="30"/>
      <c r="AS69" s="31"/>
      <c r="AT69" s="31"/>
      <c r="AU69" s="31"/>
      <c r="AV69" s="31"/>
      <c r="AW69" s="31"/>
      <c r="AX69" s="31"/>
      <c r="AY69" s="31"/>
      <c r="AZ69" s="30"/>
      <c r="BA69" s="30"/>
      <c r="BB69" s="30"/>
      <c r="BC69" s="30"/>
      <c r="BD69" s="30"/>
      <c r="BE69" s="30"/>
      <c r="BF69" s="30"/>
      <c r="BG69" s="31"/>
      <c r="BH69" s="31"/>
      <c r="BI69" s="31"/>
      <c r="BJ69" s="31"/>
      <c r="BK69" s="31"/>
      <c r="BL69" s="31"/>
      <c r="BM69" s="31"/>
    </row>
    <row r="70" spans="1:65" ht="12.75" x14ac:dyDescent="0.2">
      <c r="A70" s="1"/>
      <c r="B70" s="8" t="s">
        <v>169</v>
      </c>
      <c r="C70" s="8" t="s">
        <v>113</v>
      </c>
      <c r="D70" s="8">
        <v>50060</v>
      </c>
      <c r="E70" s="8" t="s">
        <v>54</v>
      </c>
      <c r="F70" s="8" t="s">
        <v>75</v>
      </c>
      <c r="G70" s="25">
        <f t="shared" si="3"/>
        <v>3</v>
      </c>
      <c r="H70" s="26">
        <f ca="1">IFERROR(__xludf.DUMMYFUNCTION("IFERROR(AVERAGE(FILTER(J70:ZZ70/J$4:ZZ$4, J70:ZZ70&lt;&gt;"""")), """")"),0.51259808195292)</f>
        <v>0.51259808195292</v>
      </c>
      <c r="I70" s="27" t="s">
        <v>21</v>
      </c>
      <c r="J70" s="30"/>
      <c r="K70" s="30"/>
      <c r="L70" s="30"/>
      <c r="M70" s="30"/>
      <c r="N70" s="30">
        <v>22</v>
      </c>
      <c r="O70" s="30"/>
      <c r="P70" s="30"/>
      <c r="Q70" s="31"/>
      <c r="R70" s="31"/>
      <c r="S70" s="31"/>
      <c r="T70" s="31"/>
      <c r="U70" s="31"/>
      <c r="V70" s="31"/>
      <c r="W70" s="31"/>
      <c r="X70" s="30"/>
      <c r="Y70" s="30"/>
      <c r="Z70" s="30"/>
      <c r="AA70" s="30"/>
      <c r="AB70" s="30">
        <v>27</v>
      </c>
      <c r="AC70" s="30"/>
      <c r="AD70" s="30"/>
      <c r="AE70" s="31"/>
      <c r="AF70" s="31"/>
      <c r="AG70" s="31"/>
      <c r="AH70" s="31"/>
      <c r="AI70" s="31"/>
      <c r="AJ70" s="31"/>
      <c r="AK70" s="31"/>
      <c r="AL70" s="30"/>
      <c r="AM70" s="30"/>
      <c r="AN70" s="30"/>
      <c r="AO70" s="30">
        <v>8</v>
      </c>
      <c r="AP70" s="30"/>
      <c r="AQ70" s="30"/>
      <c r="AR70" s="30"/>
      <c r="AS70" s="31"/>
      <c r="AT70" s="31"/>
      <c r="AU70" s="31"/>
      <c r="AV70" s="31"/>
      <c r="AW70" s="31"/>
      <c r="AX70" s="31"/>
      <c r="AY70" s="31"/>
      <c r="AZ70" s="30"/>
      <c r="BA70" s="30"/>
      <c r="BB70" s="30"/>
      <c r="BC70" s="30"/>
      <c r="BD70" s="30"/>
      <c r="BE70" s="30"/>
      <c r="BF70" s="30"/>
      <c r="BG70" s="31"/>
      <c r="BH70" s="31"/>
      <c r="BI70" s="31"/>
      <c r="BJ70" s="31"/>
      <c r="BK70" s="31"/>
      <c r="BL70" s="31"/>
      <c r="BM70" s="31"/>
    </row>
    <row r="71" spans="1:65" ht="12.75" x14ac:dyDescent="0.2">
      <c r="A71" s="1"/>
      <c r="B71" s="8" t="s">
        <v>27</v>
      </c>
      <c r="C71" s="8" t="s">
        <v>170</v>
      </c>
      <c r="D71" s="8" t="s">
        <v>154</v>
      </c>
      <c r="E71" s="8" t="s">
        <v>54</v>
      </c>
      <c r="F71" s="8" t="s">
        <v>154</v>
      </c>
      <c r="G71" s="25">
        <f t="shared" si="3"/>
        <v>1</v>
      </c>
      <c r="H71" s="26">
        <f ca="1">IFERROR(__xludf.DUMMYFUNCTION("IFERROR(AVERAGE(FILTER(J71:ZZ71/J$4:ZZ$4, J71:ZZ71&lt;&gt;"""")), """")"),0.486486486486486)</f>
        <v>0.48648648648648601</v>
      </c>
      <c r="I71" s="27" t="s">
        <v>21</v>
      </c>
      <c r="J71" s="30"/>
      <c r="K71" s="30"/>
      <c r="L71" s="30"/>
      <c r="M71" s="30"/>
      <c r="N71" s="30"/>
      <c r="O71" s="30"/>
      <c r="P71" s="30"/>
      <c r="Q71" s="31"/>
      <c r="R71" s="31"/>
      <c r="S71" s="31"/>
      <c r="T71" s="31">
        <v>18</v>
      </c>
      <c r="U71" s="31"/>
      <c r="V71" s="31"/>
      <c r="W71" s="31"/>
      <c r="X71" s="30"/>
      <c r="Y71" s="30"/>
      <c r="Z71" s="30"/>
      <c r="AA71" s="30"/>
      <c r="AB71" s="30"/>
      <c r="AC71" s="30"/>
      <c r="AD71" s="30"/>
      <c r="AE71" s="31"/>
      <c r="AF71" s="31"/>
      <c r="AG71" s="31"/>
      <c r="AH71" s="31"/>
      <c r="AI71" s="31"/>
      <c r="AJ71" s="31"/>
      <c r="AK71" s="31"/>
      <c r="AL71" s="30"/>
      <c r="AM71" s="30"/>
      <c r="AN71" s="30"/>
      <c r="AO71" s="30"/>
      <c r="AP71" s="30"/>
      <c r="AQ71" s="30"/>
      <c r="AR71" s="30"/>
      <c r="AS71" s="31"/>
      <c r="AT71" s="31"/>
      <c r="AU71" s="31"/>
      <c r="AV71" s="31"/>
      <c r="AW71" s="31"/>
      <c r="AX71" s="31"/>
      <c r="AY71" s="31"/>
      <c r="AZ71" s="30"/>
      <c r="BA71" s="30"/>
      <c r="BB71" s="30"/>
      <c r="BC71" s="30"/>
      <c r="BD71" s="30"/>
      <c r="BE71" s="30"/>
      <c r="BF71" s="30"/>
      <c r="BG71" s="31"/>
      <c r="BH71" s="31"/>
      <c r="BI71" s="31"/>
      <c r="BJ71" s="31"/>
      <c r="BK71" s="31"/>
      <c r="BL71" s="31"/>
      <c r="BM71" s="31"/>
    </row>
    <row r="72" spans="1:65" ht="12.75" x14ac:dyDescent="0.2">
      <c r="A72" s="1"/>
      <c r="B72" s="8" t="s">
        <v>167</v>
      </c>
      <c r="C72" s="8" t="s">
        <v>161</v>
      </c>
      <c r="D72" s="8">
        <v>50554</v>
      </c>
      <c r="E72" s="8" t="s">
        <v>54</v>
      </c>
      <c r="F72" s="8" t="s">
        <v>26</v>
      </c>
      <c r="G72" s="25">
        <f t="shared" si="3"/>
        <v>3</v>
      </c>
      <c r="H72" s="26">
        <f ca="1">IFERROR(__xludf.DUMMYFUNCTION("IFERROR(AVERAGE(FILTER(J72:ZZ72/J$4:ZZ$4, J72:ZZ72&lt;&gt;"""")), """")"),0.465415045910402)</f>
        <v>0.465415045910402</v>
      </c>
      <c r="I72" s="27" t="s">
        <v>21</v>
      </c>
      <c r="J72" s="30">
        <v>15</v>
      </c>
      <c r="K72" s="30"/>
      <c r="L72" s="30">
        <v>23</v>
      </c>
      <c r="M72" s="30"/>
      <c r="N72" s="30"/>
      <c r="O72" s="30"/>
      <c r="P72" s="30"/>
      <c r="Q72" s="31">
        <v>14</v>
      </c>
      <c r="R72" s="31"/>
      <c r="S72" s="31"/>
      <c r="T72" s="31"/>
      <c r="U72" s="31"/>
      <c r="V72" s="31"/>
      <c r="W72" s="31"/>
      <c r="X72" s="30"/>
      <c r="Y72" s="30"/>
      <c r="Z72" s="30"/>
      <c r="AA72" s="30"/>
      <c r="AB72" s="30"/>
      <c r="AC72" s="30"/>
      <c r="AD72" s="30"/>
      <c r="AE72" s="31"/>
      <c r="AF72" s="31"/>
      <c r="AG72" s="31"/>
      <c r="AH72" s="31"/>
      <c r="AI72" s="31"/>
      <c r="AJ72" s="31"/>
      <c r="AK72" s="31"/>
      <c r="AL72" s="30"/>
      <c r="AM72" s="30"/>
      <c r="AN72" s="30"/>
      <c r="AO72" s="30"/>
      <c r="AP72" s="30"/>
      <c r="AQ72" s="30"/>
      <c r="AR72" s="30"/>
      <c r="AS72" s="31"/>
      <c r="AT72" s="31"/>
      <c r="AU72" s="31"/>
      <c r="AV72" s="31"/>
      <c r="AW72" s="31"/>
      <c r="AX72" s="31"/>
      <c r="AY72" s="31"/>
      <c r="AZ72" s="30"/>
      <c r="BA72" s="30"/>
      <c r="BB72" s="30"/>
      <c r="BC72" s="30"/>
      <c r="BD72" s="30"/>
      <c r="BE72" s="30"/>
      <c r="BF72" s="30"/>
      <c r="BG72" s="31"/>
      <c r="BH72" s="31"/>
      <c r="BI72" s="31"/>
      <c r="BJ72" s="31"/>
      <c r="BK72" s="31"/>
      <c r="BL72" s="31"/>
      <c r="BM72" s="31"/>
    </row>
    <row r="73" spans="1:65" ht="12.75" x14ac:dyDescent="0.2">
      <c r="A73" s="1"/>
      <c r="B73" s="8" t="s">
        <v>171</v>
      </c>
      <c r="C73" s="8" t="s">
        <v>40</v>
      </c>
      <c r="D73" s="8">
        <v>51177</v>
      </c>
      <c r="E73" s="8" t="s">
        <v>54</v>
      </c>
      <c r="F73" s="8" t="s">
        <v>65</v>
      </c>
      <c r="G73" s="25">
        <f t="shared" si="3"/>
        <v>1</v>
      </c>
      <c r="H73" s="26">
        <f ca="1">IFERROR(__xludf.DUMMYFUNCTION("IFERROR(AVERAGE(FILTER(J73:ZZ73/J$4:ZZ$4, J73:ZZ73&lt;&gt;"""")), """")"),0.459459459459459)</f>
        <v>0.45945945945945899</v>
      </c>
      <c r="I73" s="27" t="s">
        <v>21</v>
      </c>
      <c r="J73" s="30"/>
      <c r="K73" s="30"/>
      <c r="L73" s="30"/>
      <c r="M73" s="30"/>
      <c r="N73" s="30"/>
      <c r="O73" s="30"/>
      <c r="P73" s="30"/>
      <c r="Q73" s="31"/>
      <c r="R73" s="31">
        <v>17</v>
      </c>
      <c r="S73" s="31"/>
      <c r="T73" s="31"/>
      <c r="U73" s="31"/>
      <c r="V73" s="31"/>
      <c r="W73" s="31"/>
      <c r="X73" s="30"/>
      <c r="Y73" s="30"/>
      <c r="Z73" s="30"/>
      <c r="AA73" s="30"/>
      <c r="AB73" s="30"/>
      <c r="AC73" s="30"/>
      <c r="AD73" s="30"/>
      <c r="AE73" s="31"/>
      <c r="AF73" s="31"/>
      <c r="AG73" s="31"/>
      <c r="AH73" s="31"/>
      <c r="AI73" s="31"/>
      <c r="AJ73" s="31"/>
      <c r="AK73" s="31"/>
      <c r="AL73" s="30"/>
      <c r="AM73" s="30"/>
      <c r="AN73" s="30"/>
      <c r="AO73" s="30"/>
      <c r="AP73" s="30"/>
      <c r="AQ73" s="30"/>
      <c r="AR73" s="30"/>
      <c r="AS73" s="31"/>
      <c r="AT73" s="31"/>
      <c r="AU73" s="31"/>
      <c r="AV73" s="31"/>
      <c r="AW73" s="31"/>
      <c r="AX73" s="31"/>
      <c r="AY73" s="31"/>
      <c r="AZ73" s="30"/>
      <c r="BA73" s="30"/>
      <c r="BB73" s="30"/>
      <c r="BC73" s="30"/>
      <c r="BD73" s="30"/>
      <c r="BE73" s="30"/>
      <c r="BF73" s="30"/>
      <c r="BG73" s="31"/>
      <c r="BH73" s="31"/>
      <c r="BI73" s="31"/>
      <c r="BJ73" s="31"/>
      <c r="BK73" s="31"/>
      <c r="BL73" s="31"/>
      <c r="BM73" s="31"/>
    </row>
    <row r="74" spans="1:65" ht="12.75" x14ac:dyDescent="0.2">
      <c r="A74" s="1"/>
      <c r="B74" s="8" t="s">
        <v>42</v>
      </c>
      <c r="C74" s="8" t="s">
        <v>172</v>
      </c>
      <c r="D74" s="8">
        <v>50192</v>
      </c>
      <c r="E74" s="8" t="s">
        <v>54</v>
      </c>
      <c r="F74" s="8" t="s">
        <v>26</v>
      </c>
      <c r="G74" s="25">
        <f t="shared" si="3"/>
        <v>1</v>
      </c>
      <c r="H74" s="26">
        <f ca="1">IFERROR(__xludf.DUMMYFUNCTION("IFERROR(AVERAGE(FILTER(J74:ZZ74/J$4:ZZ$4, J74:ZZ74&lt;&gt;"""")), """")"),0.421052631578947)</f>
        <v>0.42105263157894701</v>
      </c>
      <c r="I74" s="27" t="s">
        <v>21</v>
      </c>
      <c r="J74" s="30"/>
      <c r="K74" s="30"/>
      <c r="L74" s="30"/>
      <c r="M74" s="30"/>
      <c r="N74" s="30"/>
      <c r="O74" s="30"/>
      <c r="P74" s="30"/>
      <c r="Q74" s="31"/>
      <c r="R74" s="31"/>
      <c r="S74" s="31">
        <v>16</v>
      </c>
      <c r="T74" s="31"/>
      <c r="U74" s="31"/>
      <c r="V74" s="31"/>
      <c r="W74" s="31"/>
      <c r="X74" s="30"/>
      <c r="Y74" s="30"/>
      <c r="Z74" s="30"/>
      <c r="AA74" s="30"/>
      <c r="AB74" s="30"/>
      <c r="AC74" s="30"/>
      <c r="AD74" s="30"/>
      <c r="AE74" s="31"/>
      <c r="AF74" s="31"/>
      <c r="AG74" s="31"/>
      <c r="AH74" s="31"/>
      <c r="AI74" s="31"/>
      <c r="AJ74" s="31"/>
      <c r="AK74" s="31"/>
      <c r="AL74" s="30"/>
      <c r="AM74" s="30"/>
      <c r="AN74" s="30"/>
      <c r="AO74" s="30"/>
      <c r="AP74" s="30"/>
      <c r="AQ74" s="30"/>
      <c r="AR74" s="30"/>
      <c r="AS74" s="31"/>
      <c r="AT74" s="31"/>
      <c r="AU74" s="31"/>
      <c r="AV74" s="31"/>
      <c r="AW74" s="31"/>
      <c r="AX74" s="31"/>
      <c r="AY74" s="31"/>
      <c r="AZ74" s="30"/>
      <c r="BA74" s="30"/>
      <c r="BB74" s="30"/>
      <c r="BC74" s="30"/>
      <c r="BD74" s="30"/>
      <c r="BE74" s="30"/>
      <c r="BF74" s="30"/>
      <c r="BG74" s="31"/>
      <c r="BH74" s="31"/>
      <c r="BI74" s="31"/>
      <c r="BJ74" s="31"/>
      <c r="BK74" s="31"/>
      <c r="BL74" s="31"/>
      <c r="BM74" s="31"/>
    </row>
    <row r="75" spans="1:65" ht="12.75" x14ac:dyDescent="0.2">
      <c r="A75" s="1"/>
      <c r="B75" s="8" t="s">
        <v>61</v>
      </c>
      <c r="C75" s="8" t="s">
        <v>62</v>
      </c>
      <c r="D75" s="8">
        <v>51191</v>
      </c>
      <c r="E75" s="8" t="s">
        <v>54</v>
      </c>
      <c r="F75" s="8" t="s">
        <v>26</v>
      </c>
      <c r="G75" s="25">
        <f t="shared" si="3"/>
        <v>12</v>
      </c>
      <c r="H75" s="26">
        <f ca="1">IFERROR(__xludf.DUMMYFUNCTION("IFERROR(AVERAGE(FILTER(J75:ZZ75/J$4:ZZ$4, J75:ZZ75&lt;&gt;"""")), """")"),0.418795824445979)</f>
        <v>0.41879582444597901</v>
      </c>
      <c r="I75" s="27" t="s">
        <v>21</v>
      </c>
      <c r="J75" s="30"/>
      <c r="K75" s="30"/>
      <c r="L75" s="30"/>
      <c r="M75" s="30"/>
      <c r="N75" s="30">
        <v>16</v>
      </c>
      <c r="O75" s="30"/>
      <c r="P75" s="30"/>
      <c r="Q75" s="31">
        <v>14</v>
      </c>
      <c r="R75" s="31"/>
      <c r="S75" s="31">
        <v>17</v>
      </c>
      <c r="T75" s="31">
        <v>18</v>
      </c>
      <c r="U75" s="31">
        <v>17</v>
      </c>
      <c r="V75" s="31">
        <v>21</v>
      </c>
      <c r="W75" s="31"/>
      <c r="X75" s="30">
        <v>17</v>
      </c>
      <c r="Y75" s="30"/>
      <c r="Z75" s="30">
        <v>10</v>
      </c>
      <c r="AA75" s="30"/>
      <c r="AB75" s="30">
        <v>11</v>
      </c>
      <c r="AC75" s="30"/>
      <c r="AD75" s="30"/>
      <c r="AE75" s="31"/>
      <c r="AF75" s="31"/>
      <c r="AG75" s="31"/>
      <c r="AH75" s="31"/>
      <c r="AI75" s="31"/>
      <c r="AJ75" s="31"/>
      <c r="AK75" s="31"/>
      <c r="AL75" s="30">
        <v>13</v>
      </c>
      <c r="AM75" s="30">
        <v>13</v>
      </c>
      <c r="AN75" s="30"/>
      <c r="AO75" s="30"/>
      <c r="AP75" s="30"/>
      <c r="AQ75" s="30"/>
      <c r="AR75" s="30"/>
      <c r="AS75" s="31">
        <v>19</v>
      </c>
      <c r="AT75" s="31"/>
      <c r="AU75" s="31"/>
      <c r="AV75" s="31"/>
      <c r="AW75" s="31"/>
      <c r="AX75" s="31"/>
      <c r="AY75" s="31"/>
      <c r="AZ75" s="30"/>
      <c r="BA75" s="30"/>
      <c r="BB75" s="30"/>
      <c r="BC75" s="30"/>
      <c r="BD75" s="30"/>
      <c r="BE75" s="30"/>
      <c r="BF75" s="30"/>
      <c r="BG75" s="31"/>
      <c r="BH75" s="31"/>
      <c r="BI75" s="31"/>
      <c r="BJ75" s="31"/>
      <c r="BK75" s="31"/>
      <c r="BL75" s="31"/>
      <c r="BM75" s="31"/>
    </row>
    <row r="76" spans="1:65" ht="12.75" x14ac:dyDescent="0.2">
      <c r="A76" s="1"/>
      <c r="B76" s="8" t="s">
        <v>45</v>
      </c>
      <c r="C76" s="8" t="s">
        <v>173</v>
      </c>
      <c r="D76" s="8">
        <v>51091</v>
      </c>
      <c r="E76" s="8" t="s">
        <v>54</v>
      </c>
      <c r="F76" s="8" t="s">
        <v>75</v>
      </c>
      <c r="G76" s="25">
        <f t="shared" si="3"/>
        <v>1</v>
      </c>
      <c r="H76" s="26">
        <f ca="1">IFERROR(__xludf.DUMMYFUNCTION("IFERROR(AVERAGE(FILTER(J76:ZZ76/J$4:ZZ$4, J76:ZZ76&lt;&gt;"""")), """")"),0.38235294117647)</f>
        <v>0.38235294117647001</v>
      </c>
      <c r="I76" s="27" t="s">
        <v>21</v>
      </c>
      <c r="J76" s="30"/>
      <c r="K76" s="30"/>
      <c r="L76" s="30"/>
      <c r="M76" s="30"/>
      <c r="N76" s="30"/>
      <c r="O76" s="30"/>
      <c r="P76" s="30"/>
      <c r="Q76" s="31">
        <v>13</v>
      </c>
      <c r="R76" s="31"/>
      <c r="S76" s="31"/>
      <c r="T76" s="31"/>
      <c r="U76" s="31"/>
      <c r="V76" s="31"/>
      <c r="W76" s="31"/>
      <c r="X76" s="30"/>
      <c r="Y76" s="30"/>
      <c r="Z76" s="30"/>
      <c r="AA76" s="30"/>
      <c r="AB76" s="30"/>
      <c r="AC76" s="30"/>
      <c r="AD76" s="30"/>
      <c r="AE76" s="31"/>
      <c r="AF76" s="31"/>
      <c r="AG76" s="31"/>
      <c r="AH76" s="31"/>
      <c r="AI76" s="31"/>
      <c r="AJ76" s="31"/>
      <c r="AK76" s="31"/>
      <c r="AL76" s="30"/>
      <c r="AM76" s="30"/>
      <c r="AN76" s="30"/>
      <c r="AO76" s="30"/>
      <c r="AP76" s="30"/>
      <c r="AQ76" s="30"/>
      <c r="AR76" s="30"/>
      <c r="AS76" s="31"/>
      <c r="AT76" s="31"/>
      <c r="AU76" s="31"/>
      <c r="AV76" s="31"/>
      <c r="AW76" s="31"/>
      <c r="AX76" s="31"/>
      <c r="AY76" s="31"/>
      <c r="AZ76" s="30"/>
      <c r="BA76" s="30"/>
      <c r="BB76" s="30"/>
      <c r="BC76" s="30"/>
      <c r="BD76" s="30"/>
      <c r="BE76" s="30"/>
      <c r="BF76" s="30"/>
      <c r="BG76" s="31"/>
      <c r="BH76" s="31"/>
      <c r="BI76" s="31"/>
      <c r="BJ76" s="31"/>
      <c r="BK76" s="31"/>
      <c r="BL76" s="31"/>
      <c r="BM76" s="31"/>
    </row>
    <row r="77" spans="1:65" ht="12.75" x14ac:dyDescent="0.2">
      <c r="A77" s="1"/>
      <c r="B77" s="8" t="s">
        <v>78</v>
      </c>
      <c r="C77" s="8" t="s">
        <v>79</v>
      </c>
      <c r="D77" s="8">
        <v>50826</v>
      </c>
      <c r="E77" s="8" t="s">
        <v>54</v>
      </c>
      <c r="F77" s="8" t="s">
        <v>26</v>
      </c>
      <c r="G77" s="25">
        <f t="shared" si="3"/>
        <v>1</v>
      </c>
      <c r="H77" s="26">
        <f ca="1">IFERROR(__xludf.DUMMYFUNCTION("IFERROR(AVERAGE(FILTER(J77:ZZ77/J$4:ZZ$4, J77:ZZ77&lt;&gt;"""")), """")"),0.368421052631578)</f>
        <v>0.36842105263157798</v>
      </c>
      <c r="I77" s="27" t="s">
        <v>21</v>
      </c>
      <c r="J77" s="30">
        <v>14</v>
      </c>
      <c r="K77" s="30"/>
      <c r="L77" s="30"/>
      <c r="M77" s="30"/>
      <c r="N77" s="30"/>
      <c r="O77" s="30"/>
      <c r="P77" s="30"/>
      <c r="Q77" s="31"/>
      <c r="R77" s="31"/>
      <c r="S77" s="31"/>
      <c r="T77" s="31"/>
      <c r="U77" s="31"/>
      <c r="V77" s="31"/>
      <c r="W77" s="31"/>
      <c r="X77" s="30"/>
      <c r="Y77" s="30"/>
      <c r="Z77" s="30"/>
      <c r="AA77" s="30"/>
      <c r="AB77" s="30"/>
      <c r="AC77" s="30"/>
      <c r="AD77" s="30"/>
      <c r="AE77" s="31"/>
      <c r="AF77" s="31"/>
      <c r="AG77" s="31"/>
      <c r="AH77" s="31"/>
      <c r="AI77" s="31"/>
      <c r="AJ77" s="31"/>
      <c r="AK77" s="31"/>
      <c r="AL77" s="30"/>
      <c r="AM77" s="30"/>
      <c r="AN77" s="30"/>
      <c r="AO77" s="30"/>
      <c r="AP77" s="30"/>
      <c r="AQ77" s="30"/>
      <c r="AR77" s="30"/>
      <c r="AS77" s="31"/>
      <c r="AT77" s="31"/>
      <c r="AU77" s="31"/>
      <c r="AV77" s="31"/>
      <c r="AW77" s="31"/>
      <c r="AX77" s="31"/>
      <c r="AY77" s="31"/>
      <c r="AZ77" s="30"/>
      <c r="BA77" s="30"/>
      <c r="BB77" s="30"/>
      <c r="BC77" s="30"/>
      <c r="BD77" s="30"/>
      <c r="BE77" s="30"/>
      <c r="BF77" s="30"/>
      <c r="BG77" s="31"/>
      <c r="BH77" s="31"/>
      <c r="BI77" s="31"/>
      <c r="BJ77" s="31"/>
      <c r="BK77" s="31"/>
      <c r="BL77" s="31"/>
      <c r="BM77" s="31"/>
    </row>
    <row r="78" spans="1:65" ht="12.75" x14ac:dyDescent="0.2">
      <c r="A78" s="1"/>
      <c r="B78" s="8" t="s">
        <v>174</v>
      </c>
      <c r="C78" s="8" t="s">
        <v>31</v>
      </c>
      <c r="D78" s="8">
        <v>50942</v>
      </c>
      <c r="E78" s="8" t="s">
        <v>54</v>
      </c>
      <c r="F78" s="8" t="s">
        <v>26</v>
      </c>
      <c r="G78" s="25">
        <f t="shared" si="3"/>
        <v>1</v>
      </c>
      <c r="H78" s="26">
        <f ca="1">IFERROR(__xludf.DUMMYFUNCTION("IFERROR(AVERAGE(FILTER(J78:ZZ78/J$4:ZZ$4, J78:ZZ78&lt;&gt;"""")), """")"),0.342105263157894)</f>
        <v>0.34210526315789402</v>
      </c>
      <c r="I78" s="27" t="s">
        <v>21</v>
      </c>
      <c r="J78" s="30">
        <v>13</v>
      </c>
      <c r="K78" s="30"/>
      <c r="L78" s="30"/>
      <c r="M78" s="30"/>
      <c r="N78" s="30"/>
      <c r="O78" s="30"/>
      <c r="P78" s="30"/>
      <c r="Q78" s="31"/>
      <c r="R78" s="31"/>
      <c r="S78" s="31"/>
      <c r="T78" s="31"/>
      <c r="U78" s="31"/>
      <c r="V78" s="31"/>
      <c r="W78" s="31"/>
      <c r="X78" s="30"/>
      <c r="Y78" s="30"/>
      <c r="Z78" s="30"/>
      <c r="AA78" s="30"/>
      <c r="AB78" s="30"/>
      <c r="AC78" s="30"/>
      <c r="AD78" s="30"/>
      <c r="AE78" s="31"/>
      <c r="AF78" s="31"/>
      <c r="AG78" s="31"/>
      <c r="AH78" s="31"/>
      <c r="AI78" s="31"/>
      <c r="AJ78" s="31"/>
      <c r="AK78" s="31"/>
      <c r="AL78" s="30"/>
      <c r="AM78" s="30"/>
      <c r="AN78" s="30"/>
      <c r="AO78" s="30"/>
      <c r="AP78" s="30"/>
      <c r="AQ78" s="30"/>
      <c r="AR78" s="30"/>
      <c r="AS78" s="31"/>
      <c r="AT78" s="31"/>
      <c r="AU78" s="31"/>
      <c r="AV78" s="31"/>
      <c r="AW78" s="31"/>
      <c r="AX78" s="31"/>
      <c r="AY78" s="31"/>
      <c r="AZ78" s="30"/>
      <c r="BA78" s="30"/>
      <c r="BB78" s="30"/>
      <c r="BC78" s="30"/>
      <c r="BD78" s="30"/>
      <c r="BE78" s="30"/>
      <c r="BF78" s="30"/>
      <c r="BG78" s="31"/>
      <c r="BH78" s="31"/>
      <c r="BI78" s="31"/>
      <c r="BJ78" s="31"/>
      <c r="BK78" s="31"/>
      <c r="BL78" s="31"/>
      <c r="BM78" s="31"/>
    </row>
    <row r="79" spans="1:65" ht="12.75" x14ac:dyDescent="0.2">
      <c r="A79" s="1"/>
      <c r="B79" s="8" t="s">
        <v>135</v>
      </c>
      <c r="C79" s="8" t="s">
        <v>175</v>
      </c>
      <c r="D79" s="8" t="s">
        <v>154</v>
      </c>
      <c r="E79" s="8" t="s">
        <v>54</v>
      </c>
      <c r="F79" s="8" t="s">
        <v>65</v>
      </c>
      <c r="G79" s="25">
        <f t="shared" si="3"/>
        <v>1</v>
      </c>
      <c r="H79" s="26">
        <f ca="1">IFERROR(__xludf.DUMMYFUNCTION("IFERROR(AVERAGE(FILTER(J79:ZZ79/J$4:ZZ$4, J79:ZZ79&lt;&gt;"""")), """")"),0.153846153846153)</f>
        <v>0.15384615384615299</v>
      </c>
      <c r="I79" s="27" t="s">
        <v>21</v>
      </c>
      <c r="J79" s="30"/>
      <c r="K79" s="30"/>
      <c r="L79" s="30"/>
      <c r="M79" s="30"/>
      <c r="N79" s="30"/>
      <c r="O79" s="30"/>
      <c r="P79" s="30"/>
      <c r="Q79" s="31"/>
      <c r="R79" s="31"/>
      <c r="S79" s="31"/>
      <c r="T79" s="31"/>
      <c r="U79" s="31"/>
      <c r="V79" s="31"/>
      <c r="W79" s="31"/>
      <c r="X79" s="30"/>
      <c r="Y79" s="30">
        <v>6</v>
      </c>
      <c r="Z79" s="30"/>
      <c r="AA79" s="30"/>
      <c r="AB79" s="30"/>
      <c r="AC79" s="30"/>
      <c r="AD79" s="30"/>
      <c r="AE79" s="31"/>
      <c r="AF79" s="31"/>
      <c r="AG79" s="31"/>
      <c r="AH79" s="31"/>
      <c r="AI79" s="31"/>
      <c r="AJ79" s="31"/>
      <c r="AK79" s="31"/>
      <c r="AL79" s="30"/>
      <c r="AM79" s="30"/>
      <c r="AN79" s="30"/>
      <c r="AO79" s="30"/>
      <c r="AP79" s="30"/>
      <c r="AQ79" s="30"/>
      <c r="AR79" s="30"/>
      <c r="AS79" s="31"/>
      <c r="AT79" s="31"/>
      <c r="AU79" s="31"/>
      <c r="AV79" s="31"/>
      <c r="AW79" s="31"/>
      <c r="AX79" s="31"/>
      <c r="AY79" s="31"/>
      <c r="AZ79" s="30"/>
      <c r="BA79" s="30"/>
      <c r="BB79" s="30"/>
      <c r="BC79" s="30"/>
      <c r="BD79" s="30"/>
      <c r="BE79" s="30"/>
      <c r="BF79" s="30"/>
      <c r="BG79" s="31"/>
      <c r="BH79" s="31"/>
      <c r="BI79" s="31"/>
      <c r="BJ79" s="31"/>
      <c r="BK79" s="31"/>
      <c r="BL79" s="31"/>
      <c r="BM79" s="31"/>
    </row>
    <row r="80" spans="1:65" ht="12.75" x14ac:dyDescent="0.2">
      <c r="A80" s="1"/>
      <c r="B80" s="8" t="s">
        <v>176</v>
      </c>
      <c r="C80" s="8" t="s">
        <v>177</v>
      </c>
      <c r="D80" s="8" t="s">
        <v>154</v>
      </c>
      <c r="E80" s="8" t="s">
        <v>54</v>
      </c>
      <c r="F80" s="8" t="s">
        <v>26</v>
      </c>
      <c r="G80" s="25">
        <f t="shared" si="3"/>
        <v>1</v>
      </c>
      <c r="H80" s="26">
        <f ca="1">IFERROR(__xludf.DUMMYFUNCTION("IFERROR(AVERAGE(FILTER(J80:ZZ80/J$4:ZZ$4, J80:ZZ80&lt;&gt;"""")), """")"),0.108108108108108)</f>
        <v>0.108108108108108</v>
      </c>
      <c r="I80" s="27" t="s">
        <v>21</v>
      </c>
      <c r="J80" s="30"/>
      <c r="K80" s="30"/>
      <c r="L80" s="30"/>
      <c r="M80" s="30"/>
      <c r="N80" s="30"/>
      <c r="O80" s="30"/>
      <c r="P80" s="30"/>
      <c r="Q80" s="31"/>
      <c r="R80" s="31"/>
      <c r="S80" s="31"/>
      <c r="T80" s="31"/>
      <c r="U80" s="31"/>
      <c r="V80" s="31"/>
      <c r="W80" s="31"/>
      <c r="X80" s="30"/>
      <c r="Y80" s="30"/>
      <c r="Z80" s="30"/>
      <c r="AA80" s="30"/>
      <c r="AB80" s="30">
        <v>4</v>
      </c>
      <c r="AC80" s="30"/>
      <c r="AD80" s="30"/>
      <c r="AE80" s="31"/>
      <c r="AF80" s="31"/>
      <c r="AG80" s="31"/>
      <c r="AH80" s="31"/>
      <c r="AI80" s="31"/>
      <c r="AJ80" s="31"/>
      <c r="AK80" s="31"/>
      <c r="AL80" s="30"/>
      <c r="AM80" s="30"/>
      <c r="AN80" s="30"/>
      <c r="AO80" s="30"/>
      <c r="AP80" s="30"/>
      <c r="AQ80" s="30"/>
      <c r="AR80" s="30"/>
      <c r="AS80" s="31"/>
      <c r="AT80" s="31"/>
      <c r="AU80" s="31"/>
      <c r="AV80" s="31"/>
      <c r="AW80" s="31"/>
      <c r="AX80" s="31"/>
      <c r="AY80" s="31"/>
      <c r="AZ80" s="30"/>
      <c r="BA80" s="30"/>
      <c r="BB80" s="30"/>
      <c r="BC80" s="30"/>
      <c r="BD80" s="30"/>
      <c r="BE80" s="30"/>
      <c r="BF80" s="30"/>
      <c r="BG80" s="31"/>
      <c r="BH80" s="31"/>
      <c r="BI80" s="31"/>
      <c r="BJ80" s="31"/>
      <c r="BK80" s="31"/>
      <c r="BL80" s="31"/>
      <c r="BM80" s="31"/>
    </row>
    <row r="81" spans="1:65" ht="12.75" x14ac:dyDescent="0.2">
      <c r="A81" s="1"/>
      <c r="B81" s="8" t="s">
        <v>40</v>
      </c>
      <c r="C81" s="8" t="s">
        <v>178</v>
      </c>
      <c r="D81" s="8">
        <v>50997</v>
      </c>
      <c r="E81" s="8" t="s">
        <v>54</v>
      </c>
      <c r="F81" s="8" t="s">
        <v>41</v>
      </c>
      <c r="G81" s="25">
        <f t="shared" si="3"/>
        <v>0</v>
      </c>
      <c r="H81" s="26" t="str">
        <f ca="1">IFERROR(__xludf.DUMMYFUNCTION("IFERROR(AVERAGE(FILTER(J81:ZZ81/J$4:ZZ$4, J81:ZZ81&lt;&gt;"""")), """")"),"")</f>
        <v/>
      </c>
      <c r="I81" s="27" t="s">
        <v>21</v>
      </c>
      <c r="J81" s="30"/>
      <c r="K81" s="30"/>
      <c r="L81" s="30"/>
      <c r="M81" s="30"/>
      <c r="N81" s="30"/>
      <c r="O81" s="30"/>
      <c r="P81" s="30"/>
      <c r="Q81" s="31"/>
      <c r="R81" s="31"/>
      <c r="S81" s="31"/>
      <c r="T81" s="31"/>
      <c r="U81" s="31"/>
      <c r="V81" s="31"/>
      <c r="W81" s="31"/>
      <c r="X81" s="30"/>
      <c r="Y81" s="30"/>
      <c r="Z81" s="30"/>
      <c r="AA81" s="30"/>
      <c r="AB81" s="30"/>
      <c r="AC81" s="30"/>
      <c r="AD81" s="30"/>
      <c r="AE81" s="31"/>
      <c r="AF81" s="31"/>
      <c r="AG81" s="31"/>
      <c r="AH81" s="31"/>
      <c r="AI81" s="31"/>
      <c r="AJ81" s="31"/>
      <c r="AK81" s="31"/>
      <c r="AL81" s="30"/>
      <c r="AM81" s="30"/>
      <c r="AN81" s="30"/>
      <c r="AO81" s="30"/>
      <c r="AP81" s="30"/>
      <c r="AQ81" s="30"/>
      <c r="AR81" s="30"/>
      <c r="AS81" s="31"/>
      <c r="AT81" s="31"/>
      <c r="AU81" s="31"/>
      <c r="AV81" s="31"/>
      <c r="AW81" s="31"/>
      <c r="AX81" s="31"/>
      <c r="AY81" s="31"/>
      <c r="AZ81" s="30"/>
      <c r="BA81" s="30"/>
      <c r="BB81" s="30"/>
      <c r="BC81" s="30"/>
      <c r="BD81" s="30"/>
      <c r="BE81" s="30"/>
      <c r="BF81" s="30"/>
      <c r="BG81" s="31"/>
      <c r="BH81" s="31"/>
      <c r="BI81" s="31"/>
      <c r="BJ81" s="31"/>
      <c r="BK81" s="31"/>
      <c r="BL81" s="31"/>
      <c r="BM81" s="31"/>
    </row>
    <row r="82" spans="1:65" ht="12.75" x14ac:dyDescent="0.2">
      <c r="A82" s="1"/>
      <c r="B82" s="8" t="s">
        <v>104</v>
      </c>
      <c r="C82" s="8" t="s">
        <v>51</v>
      </c>
      <c r="D82" s="8">
        <v>51076</v>
      </c>
      <c r="E82" s="8" t="s">
        <v>54</v>
      </c>
      <c r="F82" s="8" t="s">
        <v>26</v>
      </c>
      <c r="G82" s="25">
        <f t="shared" si="3"/>
        <v>0</v>
      </c>
      <c r="H82" s="26" t="str">
        <f ca="1">IFERROR(__xludf.DUMMYFUNCTION("IFERROR(AVERAGE(FILTER(J82:ZZ82/J$4:ZZ$4, J82:ZZ82&lt;&gt;"""")), """")"),"")</f>
        <v/>
      </c>
      <c r="I82" s="27" t="s">
        <v>21</v>
      </c>
      <c r="J82" s="30"/>
      <c r="K82" s="30"/>
      <c r="L82" s="30"/>
      <c r="M82" s="30"/>
      <c r="N82" s="30"/>
      <c r="O82" s="30"/>
      <c r="P82" s="30"/>
      <c r="Q82" s="31"/>
      <c r="R82" s="31"/>
      <c r="S82" s="31"/>
      <c r="T82" s="31"/>
      <c r="U82" s="31"/>
      <c r="V82" s="31"/>
      <c r="W82" s="31"/>
      <c r="X82" s="30"/>
      <c r="Y82" s="30"/>
      <c r="Z82" s="30"/>
      <c r="AA82" s="30"/>
      <c r="AB82" s="30"/>
      <c r="AC82" s="30"/>
      <c r="AD82" s="30"/>
      <c r="AE82" s="31"/>
      <c r="AF82" s="31"/>
      <c r="AG82" s="31"/>
      <c r="AH82" s="31"/>
      <c r="AI82" s="31"/>
      <c r="AJ82" s="31"/>
      <c r="AK82" s="31"/>
      <c r="AL82" s="30"/>
      <c r="AM82" s="30"/>
      <c r="AN82" s="30"/>
      <c r="AO82" s="30"/>
      <c r="AP82" s="30"/>
      <c r="AQ82" s="30"/>
      <c r="AR82" s="30"/>
      <c r="AS82" s="31"/>
      <c r="AT82" s="31"/>
      <c r="AU82" s="31"/>
      <c r="AV82" s="31"/>
      <c r="AW82" s="31"/>
      <c r="AX82" s="31"/>
      <c r="AY82" s="31"/>
      <c r="AZ82" s="30"/>
      <c r="BA82" s="30"/>
      <c r="BB82" s="30"/>
      <c r="BC82" s="30"/>
      <c r="BD82" s="30"/>
      <c r="BE82" s="30"/>
      <c r="BF82" s="30"/>
      <c r="BG82" s="31"/>
      <c r="BH82" s="31"/>
      <c r="BI82" s="31"/>
      <c r="BJ82" s="31"/>
      <c r="BK82" s="31"/>
      <c r="BL82" s="31"/>
      <c r="BM82" s="31"/>
    </row>
    <row r="83" spans="1:65" ht="12.75" x14ac:dyDescent="0.2">
      <c r="A83" s="1"/>
      <c r="B83" s="8" t="s">
        <v>57</v>
      </c>
      <c r="C83" s="8" t="s">
        <v>58</v>
      </c>
      <c r="D83" s="8" t="s">
        <v>53</v>
      </c>
      <c r="E83" s="8" t="s">
        <v>54</v>
      </c>
      <c r="F83" s="8" t="s">
        <v>53</v>
      </c>
      <c r="G83" s="25">
        <f t="shared" si="3"/>
        <v>1</v>
      </c>
      <c r="H83" s="26">
        <f ca="1">IFERROR(__xludf.DUMMYFUNCTION("IFERROR(AVERAGE(FILTER(J83:ZZ83/J$4:ZZ$4, J83:ZZ83&lt;&gt;"""")), """")"),0.722222222222222)</f>
        <v>0.72222222222222199</v>
      </c>
      <c r="I83" s="27" t="s">
        <v>21</v>
      </c>
      <c r="J83" s="30"/>
      <c r="K83" s="30"/>
      <c r="L83" s="30"/>
      <c r="M83" s="30"/>
      <c r="N83" s="30"/>
      <c r="O83" s="30"/>
      <c r="P83" s="30"/>
      <c r="Q83" s="31"/>
      <c r="R83" s="31"/>
      <c r="S83" s="31"/>
      <c r="T83" s="31"/>
      <c r="U83" s="31"/>
      <c r="V83" s="31"/>
      <c r="W83" s="31"/>
      <c r="X83" s="30"/>
      <c r="Y83" s="30"/>
      <c r="Z83" s="30"/>
      <c r="AA83" s="30"/>
      <c r="AB83" s="30"/>
      <c r="AC83" s="30"/>
      <c r="AD83" s="30"/>
      <c r="AE83" s="31"/>
      <c r="AF83" s="31"/>
      <c r="AG83" s="31"/>
      <c r="AH83" s="31"/>
      <c r="AI83" s="31"/>
      <c r="AJ83" s="31"/>
      <c r="AK83" s="31"/>
      <c r="AL83" s="30"/>
      <c r="AM83" s="30"/>
      <c r="AN83" s="30"/>
      <c r="AO83" s="30"/>
      <c r="AP83" s="30"/>
      <c r="AQ83" s="30"/>
      <c r="AR83" s="30"/>
      <c r="AS83" s="31">
        <v>26</v>
      </c>
      <c r="AT83" s="31"/>
      <c r="AU83" s="31"/>
      <c r="AV83" s="31"/>
      <c r="AW83" s="31"/>
      <c r="AX83" s="31"/>
      <c r="AY83" s="31"/>
      <c r="AZ83" s="30"/>
      <c r="BA83" s="30"/>
      <c r="BB83" s="30"/>
      <c r="BC83" s="30"/>
      <c r="BD83" s="30"/>
      <c r="BE83" s="30"/>
      <c r="BF83" s="30"/>
      <c r="BG83" s="31"/>
      <c r="BH83" s="31"/>
      <c r="BI83" s="31"/>
      <c r="BJ83" s="31"/>
      <c r="BK83" s="31"/>
      <c r="BL83" s="31"/>
      <c r="BM83" s="31"/>
    </row>
    <row r="84" spans="1:65" ht="12.75" x14ac:dyDescent="0.2">
      <c r="A84" s="1"/>
      <c r="B84" s="8" t="s">
        <v>52</v>
      </c>
      <c r="C84" s="8" t="s">
        <v>47</v>
      </c>
      <c r="D84" s="8" t="s">
        <v>53</v>
      </c>
      <c r="E84" s="8" t="s">
        <v>54</v>
      </c>
      <c r="F84" s="8" t="s">
        <v>53</v>
      </c>
      <c r="G84" s="25">
        <f t="shared" si="3"/>
        <v>1</v>
      </c>
      <c r="H84" s="26">
        <f ca="1">IFERROR(__xludf.DUMMYFUNCTION("IFERROR(AVERAGE(FILTER(J84:ZZ84/J$4:ZZ$4, J84:ZZ84&lt;&gt;"""")), """")"),0.972222222222222)</f>
        <v>0.97222222222222199</v>
      </c>
      <c r="I84" s="27" t="s">
        <v>21</v>
      </c>
      <c r="J84" s="30"/>
      <c r="K84" s="30"/>
      <c r="L84" s="30"/>
      <c r="M84" s="30"/>
      <c r="N84" s="30"/>
      <c r="O84" s="30"/>
      <c r="P84" s="30"/>
      <c r="Q84" s="31"/>
      <c r="R84" s="31"/>
      <c r="S84" s="31"/>
      <c r="T84" s="31"/>
      <c r="U84" s="31"/>
      <c r="V84" s="31"/>
      <c r="W84" s="31"/>
      <c r="X84" s="30"/>
      <c r="Y84" s="30"/>
      <c r="Z84" s="30"/>
      <c r="AA84" s="30"/>
      <c r="AB84" s="30"/>
      <c r="AC84" s="30"/>
      <c r="AD84" s="30"/>
      <c r="AE84" s="31"/>
      <c r="AF84" s="31"/>
      <c r="AG84" s="31"/>
      <c r="AH84" s="31"/>
      <c r="AI84" s="31"/>
      <c r="AJ84" s="31"/>
      <c r="AK84" s="31"/>
      <c r="AL84" s="30"/>
      <c r="AM84" s="30"/>
      <c r="AN84" s="30"/>
      <c r="AO84" s="30"/>
      <c r="AP84" s="30"/>
      <c r="AQ84" s="30"/>
      <c r="AR84" s="30"/>
      <c r="AS84" s="31">
        <v>35</v>
      </c>
      <c r="AT84" s="31"/>
      <c r="AU84" s="31"/>
      <c r="AV84" s="31"/>
      <c r="AW84" s="31"/>
      <c r="AX84" s="31"/>
      <c r="AY84" s="31"/>
      <c r="AZ84" s="30"/>
      <c r="BA84" s="30"/>
      <c r="BB84" s="30"/>
      <c r="BC84" s="30"/>
      <c r="BD84" s="30"/>
      <c r="BE84" s="30"/>
      <c r="BF84" s="30"/>
      <c r="BG84" s="31"/>
      <c r="BH84" s="31"/>
      <c r="BI84" s="31"/>
      <c r="BJ84" s="31"/>
      <c r="BK84" s="31"/>
      <c r="BL84" s="31"/>
      <c r="BM84" s="31"/>
    </row>
    <row r="85" spans="1:65" ht="12.75" x14ac:dyDescent="0.2">
      <c r="A85" s="1"/>
      <c r="B85" s="32"/>
      <c r="C85" s="32"/>
      <c r="D85" s="32"/>
      <c r="E85" s="32"/>
      <c r="F85" s="32"/>
      <c r="G85" s="33"/>
      <c r="H85" s="34"/>
      <c r="I85" s="35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</row>
    <row r="86" spans="1:65" ht="12.75" x14ac:dyDescent="0.2">
      <c r="A86" s="1"/>
      <c r="B86" s="8" t="s">
        <v>133</v>
      </c>
      <c r="C86" s="8" t="s">
        <v>134</v>
      </c>
      <c r="D86" s="8">
        <v>50988</v>
      </c>
      <c r="E86" s="8" t="s">
        <v>64</v>
      </c>
      <c r="F86" s="8" t="s">
        <v>32</v>
      </c>
      <c r="G86" s="25">
        <f t="shared" ref="G86:G100" si="4">COUNT(J86:ZZ86)</f>
        <v>2</v>
      </c>
      <c r="H86" s="26">
        <f ca="1">IFERROR(__xludf.DUMMYFUNCTION("IFERROR(AVERAGE(FILTER(J86:ZZ86/J$4:ZZ$4, J86:ZZ86&lt;&gt;"""")), """")"),0.692857142857142)</f>
        <v>0.69285714285714195</v>
      </c>
      <c r="I86" s="27" t="s">
        <v>21</v>
      </c>
      <c r="J86" s="30"/>
      <c r="K86" s="30"/>
      <c r="L86" s="30"/>
      <c r="M86" s="30"/>
      <c r="N86" s="30"/>
      <c r="O86" s="30"/>
      <c r="P86" s="30"/>
      <c r="Q86" s="31"/>
      <c r="R86" s="31"/>
      <c r="S86" s="31"/>
      <c r="T86" s="31"/>
      <c r="U86" s="31"/>
      <c r="V86" s="31"/>
      <c r="W86" s="31"/>
      <c r="X86" s="30"/>
      <c r="Y86" s="30"/>
      <c r="Z86" s="30"/>
      <c r="AA86" s="30"/>
      <c r="AB86" s="30"/>
      <c r="AC86" s="30"/>
      <c r="AD86" s="30"/>
      <c r="AE86" s="31"/>
      <c r="AF86" s="31">
        <v>26</v>
      </c>
      <c r="AG86" s="31">
        <v>18</v>
      </c>
      <c r="AH86" s="31"/>
      <c r="AI86" s="31"/>
      <c r="AJ86" s="31"/>
      <c r="AK86" s="31"/>
      <c r="AL86" s="30"/>
      <c r="AM86" s="30"/>
      <c r="AN86" s="30"/>
      <c r="AO86" s="30"/>
      <c r="AP86" s="30"/>
      <c r="AQ86" s="30"/>
      <c r="AR86" s="30"/>
      <c r="AS86" s="31"/>
      <c r="AT86" s="31"/>
      <c r="AU86" s="31"/>
      <c r="AV86" s="31"/>
      <c r="AW86" s="31"/>
      <c r="AX86" s="31"/>
      <c r="AY86" s="31"/>
      <c r="AZ86" s="30"/>
      <c r="BA86" s="30"/>
      <c r="BB86" s="30"/>
      <c r="BC86" s="30"/>
      <c r="BD86" s="30"/>
      <c r="BE86" s="30"/>
      <c r="BF86" s="30"/>
      <c r="BG86" s="31"/>
      <c r="BH86" s="31"/>
      <c r="BI86" s="31"/>
      <c r="BJ86" s="31"/>
      <c r="BK86" s="31"/>
      <c r="BL86" s="31"/>
      <c r="BM86" s="31"/>
    </row>
    <row r="87" spans="1:65" ht="12.75" x14ac:dyDescent="0.2">
      <c r="A87" s="1"/>
      <c r="B87" s="8" t="s">
        <v>33</v>
      </c>
      <c r="C87" s="8" t="s">
        <v>34</v>
      </c>
      <c r="D87" s="8">
        <v>50863</v>
      </c>
      <c r="E87" s="8" t="s">
        <v>64</v>
      </c>
      <c r="F87" s="8" t="s">
        <v>32</v>
      </c>
      <c r="G87" s="25">
        <f t="shared" si="4"/>
        <v>4</v>
      </c>
      <c r="H87" s="26">
        <f ca="1">IFERROR(__xludf.DUMMYFUNCTION("IFERROR(AVERAGE(FILTER(J87:ZZ87/J$4:ZZ$4, J87:ZZ87&lt;&gt;"""")), """")"),0.73687584345479)</f>
        <v>0.73687584345478996</v>
      </c>
      <c r="I87" s="27" t="s">
        <v>21</v>
      </c>
      <c r="J87" s="30">
        <v>30</v>
      </c>
      <c r="K87" s="30"/>
      <c r="L87" s="30">
        <v>31</v>
      </c>
      <c r="M87" s="30"/>
      <c r="N87" s="30">
        <v>24</v>
      </c>
      <c r="O87" s="30">
        <v>29</v>
      </c>
      <c r="P87" s="30"/>
      <c r="Q87" s="31"/>
      <c r="R87" s="31"/>
      <c r="S87" s="31"/>
      <c r="T87" s="31"/>
      <c r="U87" s="31"/>
      <c r="V87" s="31"/>
      <c r="W87" s="31"/>
      <c r="X87" s="30"/>
      <c r="Y87" s="30"/>
      <c r="Z87" s="30"/>
      <c r="AA87" s="30"/>
      <c r="AB87" s="30"/>
      <c r="AC87" s="30"/>
      <c r="AD87" s="30"/>
      <c r="AE87" s="31"/>
      <c r="AF87" s="31"/>
      <c r="AG87" s="31"/>
      <c r="AH87" s="31"/>
      <c r="AI87" s="31"/>
      <c r="AJ87" s="31"/>
      <c r="AK87" s="31"/>
      <c r="AL87" s="30"/>
      <c r="AM87" s="30"/>
      <c r="AN87" s="30"/>
      <c r="AO87" s="30"/>
      <c r="AP87" s="30"/>
      <c r="AQ87" s="30"/>
      <c r="AR87" s="30"/>
      <c r="AS87" s="31"/>
      <c r="AT87" s="31"/>
      <c r="AU87" s="31"/>
      <c r="AV87" s="31"/>
      <c r="AW87" s="31"/>
      <c r="AX87" s="31"/>
      <c r="AY87" s="31"/>
      <c r="AZ87" s="30"/>
      <c r="BA87" s="30"/>
      <c r="BB87" s="30"/>
      <c r="BC87" s="30"/>
      <c r="BD87" s="30"/>
      <c r="BE87" s="30"/>
      <c r="BF87" s="30"/>
      <c r="BG87" s="31"/>
      <c r="BH87" s="31"/>
      <c r="BI87" s="31"/>
      <c r="BJ87" s="31"/>
      <c r="BK87" s="31"/>
      <c r="BL87" s="31"/>
      <c r="BM87" s="31"/>
    </row>
    <row r="88" spans="1:65" ht="12.75" x14ac:dyDescent="0.2">
      <c r="A88" s="1"/>
      <c r="B88" s="8" t="s">
        <v>137</v>
      </c>
      <c r="C88" s="8" t="s">
        <v>138</v>
      </c>
      <c r="D88" s="8">
        <v>50094</v>
      </c>
      <c r="E88" s="8" t="s">
        <v>64</v>
      </c>
      <c r="F88" s="8" t="s">
        <v>32</v>
      </c>
      <c r="G88" s="25">
        <f t="shared" si="4"/>
        <v>9</v>
      </c>
      <c r="H88" s="26">
        <f ca="1">IFERROR(__xludf.DUMMYFUNCTION("IFERROR(AVERAGE(FILTER(J88:ZZ88/J$4:ZZ$4, J88:ZZ88&lt;&gt;"""")), """")"),0.616130416130416)</f>
        <v>0.61613041613041597</v>
      </c>
      <c r="I88" s="27" t="s">
        <v>21</v>
      </c>
      <c r="J88" s="30">
        <v>19</v>
      </c>
      <c r="K88" s="30"/>
      <c r="L88" s="30"/>
      <c r="M88" s="30">
        <v>27</v>
      </c>
      <c r="N88" s="30">
        <v>28</v>
      </c>
      <c r="O88" s="30">
        <v>22</v>
      </c>
      <c r="P88" s="30"/>
      <c r="Q88" s="31"/>
      <c r="R88" s="31"/>
      <c r="S88" s="31"/>
      <c r="T88" s="31">
        <v>25</v>
      </c>
      <c r="U88" s="31"/>
      <c r="V88" s="31">
        <v>29</v>
      </c>
      <c r="W88" s="31">
        <v>16</v>
      </c>
      <c r="X88" s="30"/>
      <c r="Y88" s="30"/>
      <c r="Z88" s="30"/>
      <c r="AA88" s="30"/>
      <c r="AB88" s="30"/>
      <c r="AC88" s="30"/>
      <c r="AD88" s="30"/>
      <c r="AE88" s="31">
        <v>24</v>
      </c>
      <c r="AF88" s="31">
        <v>15</v>
      </c>
      <c r="AG88" s="31"/>
      <c r="AH88" s="31"/>
      <c r="AI88" s="31"/>
      <c r="AJ88" s="31"/>
      <c r="AK88" s="31"/>
      <c r="AL88" s="30"/>
      <c r="AM88" s="30"/>
      <c r="AN88" s="30"/>
      <c r="AO88" s="30"/>
      <c r="AP88" s="30"/>
      <c r="AQ88" s="30"/>
      <c r="AR88" s="30"/>
      <c r="AS88" s="31"/>
      <c r="AT88" s="31"/>
      <c r="AU88" s="31"/>
      <c r="AV88" s="31"/>
      <c r="AW88" s="31"/>
      <c r="AX88" s="31"/>
      <c r="AY88" s="31"/>
      <c r="AZ88" s="30"/>
      <c r="BA88" s="30"/>
      <c r="BB88" s="30"/>
      <c r="BC88" s="30"/>
      <c r="BD88" s="30"/>
      <c r="BE88" s="30"/>
      <c r="BF88" s="30"/>
      <c r="BG88" s="31"/>
      <c r="BH88" s="31"/>
      <c r="BI88" s="31"/>
      <c r="BJ88" s="31"/>
      <c r="BK88" s="31"/>
      <c r="BL88" s="31"/>
      <c r="BM88" s="31"/>
    </row>
    <row r="89" spans="1:65" ht="12.75" x14ac:dyDescent="0.2">
      <c r="A89" s="1"/>
      <c r="B89" s="8" t="s">
        <v>124</v>
      </c>
      <c r="C89" s="8" t="s">
        <v>125</v>
      </c>
      <c r="D89" s="8">
        <v>50642</v>
      </c>
      <c r="E89" s="8" t="s">
        <v>64</v>
      </c>
      <c r="F89" s="8" t="s">
        <v>26</v>
      </c>
      <c r="G89" s="25">
        <f t="shared" si="4"/>
        <v>10</v>
      </c>
      <c r="H89" s="26">
        <f ca="1">IFERROR(__xludf.DUMMYFUNCTION("IFERROR(AVERAGE(FILTER(J89:ZZ89/J$4:ZZ$4, J89:ZZ89&lt;&gt;"""")), """")"),0.724327565836853)</f>
        <v>0.72432756583685298</v>
      </c>
      <c r="I89" s="27" t="s">
        <v>21</v>
      </c>
      <c r="J89" s="30">
        <v>25</v>
      </c>
      <c r="K89" s="30">
        <v>35</v>
      </c>
      <c r="L89" s="30">
        <v>33</v>
      </c>
      <c r="M89" s="30"/>
      <c r="N89" s="30">
        <v>29</v>
      </c>
      <c r="O89" s="30">
        <v>27</v>
      </c>
      <c r="P89" s="30"/>
      <c r="Q89" s="31">
        <v>20</v>
      </c>
      <c r="R89" s="31"/>
      <c r="S89" s="31">
        <v>26</v>
      </c>
      <c r="T89" s="31">
        <v>28</v>
      </c>
      <c r="U89" s="31"/>
      <c r="V89" s="31">
        <v>18</v>
      </c>
      <c r="W89" s="31">
        <v>31</v>
      </c>
      <c r="X89" s="30"/>
      <c r="Y89" s="30"/>
      <c r="Z89" s="30"/>
      <c r="AA89" s="30"/>
      <c r="AB89" s="30"/>
      <c r="AC89" s="30"/>
      <c r="AD89" s="30"/>
      <c r="AE89" s="31"/>
      <c r="AF89" s="31"/>
      <c r="AG89" s="31"/>
      <c r="AH89" s="31"/>
      <c r="AI89" s="31"/>
      <c r="AJ89" s="31"/>
      <c r="AK89" s="31"/>
      <c r="AL89" s="30"/>
      <c r="AM89" s="30"/>
      <c r="AN89" s="30"/>
      <c r="AO89" s="30"/>
      <c r="AP89" s="30"/>
      <c r="AQ89" s="30"/>
      <c r="AR89" s="30"/>
      <c r="AS89" s="31"/>
      <c r="AT89" s="31"/>
      <c r="AU89" s="31"/>
      <c r="AV89" s="31"/>
      <c r="AW89" s="31"/>
      <c r="AX89" s="31"/>
      <c r="AY89" s="31"/>
      <c r="AZ89" s="30"/>
      <c r="BA89" s="30"/>
      <c r="BB89" s="30"/>
      <c r="BC89" s="30"/>
      <c r="BD89" s="30"/>
      <c r="BE89" s="30"/>
      <c r="BF89" s="30"/>
      <c r="BG89" s="31"/>
      <c r="BH89" s="31"/>
      <c r="BI89" s="31"/>
      <c r="BJ89" s="31"/>
      <c r="BK89" s="31"/>
      <c r="BL89" s="31"/>
      <c r="BM89" s="31"/>
    </row>
    <row r="90" spans="1:65" ht="12.75" x14ac:dyDescent="0.2">
      <c r="A90" s="1"/>
      <c r="B90" s="8" t="s">
        <v>31</v>
      </c>
      <c r="C90" s="8" t="s">
        <v>72</v>
      </c>
      <c r="D90" s="8">
        <v>50702</v>
      </c>
      <c r="E90" s="8" t="s">
        <v>64</v>
      </c>
      <c r="F90" s="8" t="s">
        <v>26</v>
      </c>
      <c r="G90" s="25">
        <f t="shared" si="4"/>
        <v>6</v>
      </c>
      <c r="H90" s="26">
        <f ca="1">IFERROR(__xludf.DUMMYFUNCTION("IFERROR(AVERAGE(FILTER(J90:ZZ90/J$4:ZZ$4, J90:ZZ90&lt;&gt;"""")), """")"),0.677627743842914)</f>
        <v>0.67762774384291402</v>
      </c>
      <c r="I90" s="27" t="s">
        <v>21</v>
      </c>
      <c r="J90" s="30"/>
      <c r="K90" s="30"/>
      <c r="L90" s="30"/>
      <c r="M90" s="30"/>
      <c r="N90" s="30">
        <v>29</v>
      </c>
      <c r="O90" s="30">
        <v>30</v>
      </c>
      <c r="P90" s="30"/>
      <c r="Q90" s="31">
        <v>23</v>
      </c>
      <c r="R90" s="31">
        <v>20</v>
      </c>
      <c r="S90" s="31">
        <v>24</v>
      </c>
      <c r="T90" s="31">
        <v>26</v>
      </c>
      <c r="U90" s="31"/>
      <c r="V90" s="31"/>
      <c r="W90" s="31"/>
      <c r="X90" s="30"/>
      <c r="Y90" s="30"/>
      <c r="Z90" s="30"/>
      <c r="AA90" s="30"/>
      <c r="AB90" s="30"/>
      <c r="AC90" s="30"/>
      <c r="AD90" s="30"/>
      <c r="AE90" s="31"/>
      <c r="AF90" s="31"/>
      <c r="AG90" s="31"/>
      <c r="AH90" s="31"/>
      <c r="AI90" s="31"/>
      <c r="AJ90" s="31"/>
      <c r="AK90" s="31"/>
      <c r="AL90" s="30"/>
      <c r="AM90" s="30"/>
      <c r="AN90" s="30"/>
      <c r="AO90" s="30"/>
      <c r="AP90" s="30"/>
      <c r="AQ90" s="30"/>
      <c r="AR90" s="30"/>
      <c r="AS90" s="31"/>
      <c r="AT90" s="31"/>
      <c r="AU90" s="31"/>
      <c r="AV90" s="31"/>
      <c r="AW90" s="31"/>
      <c r="AX90" s="31"/>
      <c r="AY90" s="31"/>
      <c r="AZ90" s="30"/>
      <c r="BA90" s="30"/>
      <c r="BB90" s="30"/>
      <c r="BC90" s="30"/>
      <c r="BD90" s="30"/>
      <c r="BE90" s="30"/>
      <c r="BF90" s="30"/>
      <c r="BG90" s="31"/>
      <c r="BH90" s="31"/>
      <c r="BI90" s="31"/>
      <c r="BJ90" s="31"/>
      <c r="BK90" s="31"/>
      <c r="BL90" s="31"/>
      <c r="BM90" s="31"/>
    </row>
    <row r="91" spans="1:65" ht="12.75" x14ac:dyDescent="0.2">
      <c r="A91" s="1"/>
      <c r="B91" s="8" t="s">
        <v>104</v>
      </c>
      <c r="C91" s="8" t="s">
        <v>31</v>
      </c>
      <c r="D91" s="8">
        <v>51101</v>
      </c>
      <c r="E91" s="8" t="s">
        <v>64</v>
      </c>
      <c r="F91" s="8" t="s">
        <v>32</v>
      </c>
      <c r="G91" s="25">
        <f t="shared" si="4"/>
        <v>3</v>
      </c>
      <c r="H91" s="26">
        <f ca="1">IFERROR(__xludf.DUMMYFUNCTION("IFERROR(AVERAGE(FILTER(J91:ZZ91/J$4:ZZ$4, J91:ZZ91&lt;&gt;"""")), """")"),0.504610886189833)</f>
        <v>0.50461088618983296</v>
      </c>
      <c r="I91" s="27" t="s">
        <v>21</v>
      </c>
      <c r="J91" s="30">
        <v>11</v>
      </c>
      <c r="K91" s="30">
        <v>21</v>
      </c>
      <c r="L91" s="30">
        <v>25</v>
      </c>
      <c r="M91" s="30"/>
      <c r="N91" s="30"/>
      <c r="O91" s="30"/>
      <c r="P91" s="30"/>
      <c r="Q91" s="31"/>
      <c r="R91" s="31"/>
      <c r="S91" s="31"/>
      <c r="T91" s="31"/>
      <c r="U91" s="31"/>
      <c r="V91" s="31"/>
      <c r="W91" s="31"/>
      <c r="X91" s="30"/>
      <c r="Y91" s="30"/>
      <c r="Z91" s="30"/>
      <c r="AA91" s="30"/>
      <c r="AB91" s="30"/>
      <c r="AC91" s="30"/>
      <c r="AD91" s="30"/>
      <c r="AE91" s="31"/>
      <c r="AF91" s="31"/>
      <c r="AG91" s="31"/>
      <c r="AH91" s="31"/>
      <c r="AI91" s="31"/>
      <c r="AJ91" s="31"/>
      <c r="AK91" s="31"/>
      <c r="AL91" s="30"/>
      <c r="AM91" s="30"/>
      <c r="AN91" s="30"/>
      <c r="AO91" s="30"/>
      <c r="AP91" s="30"/>
      <c r="AQ91" s="30"/>
      <c r="AR91" s="30"/>
      <c r="AS91" s="31"/>
      <c r="AT91" s="31"/>
      <c r="AU91" s="31"/>
      <c r="AV91" s="31"/>
      <c r="AW91" s="31"/>
      <c r="AX91" s="31"/>
      <c r="AY91" s="31"/>
      <c r="AZ91" s="30"/>
      <c r="BA91" s="30"/>
      <c r="BB91" s="30"/>
      <c r="BC91" s="30"/>
      <c r="BD91" s="30"/>
      <c r="BE91" s="30"/>
      <c r="BF91" s="30"/>
      <c r="BG91" s="31"/>
      <c r="BH91" s="31"/>
      <c r="BI91" s="31"/>
      <c r="BJ91" s="31"/>
      <c r="BK91" s="31"/>
      <c r="BL91" s="31"/>
      <c r="BM91" s="31"/>
    </row>
    <row r="92" spans="1:65" ht="12.75" x14ac:dyDescent="0.2">
      <c r="A92" s="1"/>
      <c r="B92" s="8" t="s">
        <v>179</v>
      </c>
      <c r="C92" s="8" t="s">
        <v>40</v>
      </c>
      <c r="D92" s="8">
        <v>50540</v>
      </c>
      <c r="E92" s="8" t="s">
        <v>64</v>
      </c>
      <c r="F92" s="8" t="s">
        <v>65</v>
      </c>
      <c r="G92" s="25">
        <f t="shared" si="4"/>
        <v>12</v>
      </c>
      <c r="H92" s="26">
        <f ca="1">IFERROR(__xludf.DUMMYFUNCTION("IFERROR(AVERAGE(FILTER(J92:ZZ92/J$4:ZZ$4, J92:ZZ92&lt;&gt;"""")), """")"),0.708759334472781)</f>
        <v>0.70875933447278106</v>
      </c>
      <c r="I92" s="27" t="s">
        <v>21</v>
      </c>
      <c r="J92" s="30"/>
      <c r="K92" s="30"/>
      <c r="L92" s="30"/>
      <c r="M92" s="30"/>
      <c r="N92" s="30"/>
      <c r="O92" s="30"/>
      <c r="P92" s="30"/>
      <c r="Q92" s="31"/>
      <c r="R92" s="31"/>
      <c r="S92" s="31"/>
      <c r="T92" s="31"/>
      <c r="U92" s="31"/>
      <c r="V92" s="31"/>
      <c r="W92" s="31"/>
      <c r="X92" s="30"/>
      <c r="Y92" s="30"/>
      <c r="Z92" s="30"/>
      <c r="AA92" s="30"/>
      <c r="AB92" s="30"/>
      <c r="AC92" s="30">
        <v>24</v>
      </c>
      <c r="AD92" s="30"/>
      <c r="AE92" s="31">
        <v>18</v>
      </c>
      <c r="AF92" s="31">
        <v>26</v>
      </c>
      <c r="AG92" s="31">
        <v>22</v>
      </c>
      <c r="AH92" s="31">
        <v>31</v>
      </c>
      <c r="AI92" s="31"/>
      <c r="AJ92" s="31">
        <v>23</v>
      </c>
      <c r="AK92" s="31"/>
      <c r="AL92" s="30">
        <v>29</v>
      </c>
      <c r="AM92" s="30">
        <v>24</v>
      </c>
      <c r="AN92" s="30">
        <v>29</v>
      </c>
      <c r="AO92" s="30">
        <v>15</v>
      </c>
      <c r="AP92" s="30"/>
      <c r="AQ92" s="30">
        <v>30</v>
      </c>
      <c r="AR92" s="30"/>
      <c r="AS92" s="31">
        <v>31</v>
      </c>
      <c r="AT92" s="31"/>
      <c r="AU92" s="31"/>
      <c r="AV92" s="31"/>
      <c r="AW92" s="31"/>
      <c r="AX92" s="31"/>
      <c r="AY92" s="31"/>
      <c r="AZ92" s="30"/>
      <c r="BA92" s="30"/>
      <c r="BB92" s="30"/>
      <c r="BC92" s="30"/>
      <c r="BD92" s="30"/>
      <c r="BE92" s="30"/>
      <c r="BF92" s="30"/>
      <c r="BG92" s="31"/>
      <c r="BH92" s="31"/>
      <c r="BI92" s="31"/>
      <c r="BJ92" s="31"/>
      <c r="BK92" s="31"/>
      <c r="BL92" s="31"/>
      <c r="BM92" s="31"/>
    </row>
    <row r="93" spans="1:65" ht="12.75" x14ac:dyDescent="0.2">
      <c r="A93" s="1"/>
      <c r="B93" s="8" t="s">
        <v>179</v>
      </c>
      <c r="C93" s="8" t="s">
        <v>113</v>
      </c>
      <c r="D93" s="8" t="s">
        <v>154</v>
      </c>
      <c r="E93" s="8" t="s">
        <v>64</v>
      </c>
      <c r="F93" s="8" t="s">
        <v>65</v>
      </c>
      <c r="G93" s="25">
        <f t="shared" si="4"/>
        <v>1</v>
      </c>
      <c r="H93" s="26">
        <f ca="1">IFERROR(__xludf.DUMMYFUNCTION("IFERROR(AVERAGE(FILTER(J93:ZZ93/J$4:ZZ$4, J93:ZZ93&lt;&gt;"""")), """")"),0.666666666666666)</f>
        <v>0.66666666666666596</v>
      </c>
      <c r="I93" s="27" t="s">
        <v>21</v>
      </c>
      <c r="J93" s="30"/>
      <c r="K93" s="30"/>
      <c r="L93" s="30"/>
      <c r="M93" s="30"/>
      <c r="N93" s="30"/>
      <c r="O93" s="30"/>
      <c r="P93" s="30"/>
      <c r="Q93" s="31"/>
      <c r="R93" s="31"/>
      <c r="S93" s="31"/>
      <c r="T93" s="31"/>
      <c r="U93" s="31"/>
      <c r="V93" s="31"/>
      <c r="W93" s="31"/>
      <c r="X93" s="30"/>
      <c r="Y93" s="30"/>
      <c r="Z93" s="30"/>
      <c r="AA93" s="30"/>
      <c r="AB93" s="30"/>
      <c r="AC93" s="30"/>
      <c r="AD93" s="30"/>
      <c r="AE93" s="31"/>
      <c r="AF93" s="31"/>
      <c r="AG93" s="31"/>
      <c r="AH93" s="31"/>
      <c r="AI93" s="31"/>
      <c r="AJ93" s="31"/>
      <c r="AK93" s="31"/>
      <c r="AL93" s="30"/>
      <c r="AM93" s="30"/>
      <c r="AN93" s="30"/>
      <c r="AO93" s="30"/>
      <c r="AP93" s="30"/>
      <c r="AQ93" s="30">
        <v>24</v>
      </c>
      <c r="AR93" s="30"/>
      <c r="AS93" s="31"/>
      <c r="AT93" s="31"/>
      <c r="AU93" s="31"/>
      <c r="AV93" s="31"/>
      <c r="AW93" s="31"/>
      <c r="AX93" s="31"/>
      <c r="AY93" s="31"/>
      <c r="AZ93" s="30"/>
      <c r="BA93" s="30"/>
      <c r="BB93" s="30"/>
      <c r="BC93" s="30"/>
      <c r="BD93" s="30"/>
      <c r="BE93" s="30"/>
      <c r="BF93" s="30"/>
      <c r="BG93" s="31"/>
      <c r="BH93" s="31"/>
      <c r="BI93" s="31"/>
      <c r="BJ93" s="31"/>
      <c r="BK93" s="31"/>
      <c r="BL93" s="31"/>
      <c r="BM93" s="31"/>
    </row>
    <row r="94" spans="1:65" ht="12.75" x14ac:dyDescent="0.2">
      <c r="A94" s="1"/>
      <c r="B94" s="8" t="s">
        <v>167</v>
      </c>
      <c r="C94" s="8" t="s">
        <v>116</v>
      </c>
      <c r="D94" s="8">
        <v>51058</v>
      </c>
      <c r="E94" s="8" t="s">
        <v>64</v>
      </c>
      <c r="F94" s="8" t="s">
        <v>32</v>
      </c>
      <c r="G94" s="25">
        <f t="shared" si="4"/>
        <v>9</v>
      </c>
      <c r="H94" s="26">
        <f ca="1">IFERROR(__xludf.DUMMYFUNCTION("IFERROR(AVERAGE(FILTER(J94:ZZ94/J$4:ZZ$4, J94:ZZ94&lt;&gt;"""")), """")"),0.555178648522301)</f>
        <v>0.55517864852230103</v>
      </c>
      <c r="I94" s="27" t="s">
        <v>21</v>
      </c>
      <c r="J94" s="30">
        <v>17</v>
      </c>
      <c r="K94" s="30"/>
      <c r="L94" s="30">
        <v>24</v>
      </c>
      <c r="M94" s="30"/>
      <c r="N94" s="30">
        <v>22</v>
      </c>
      <c r="O94" s="30">
        <v>16</v>
      </c>
      <c r="P94" s="30"/>
      <c r="Q94" s="31">
        <v>20</v>
      </c>
      <c r="R94" s="31">
        <v>19</v>
      </c>
      <c r="S94" s="31">
        <v>19</v>
      </c>
      <c r="T94" s="31">
        <v>20</v>
      </c>
      <c r="U94" s="31"/>
      <c r="V94" s="31"/>
      <c r="W94" s="31"/>
      <c r="X94" s="30"/>
      <c r="Y94" s="30"/>
      <c r="Z94" s="30"/>
      <c r="AA94" s="30"/>
      <c r="AB94" s="30"/>
      <c r="AC94" s="30"/>
      <c r="AD94" s="30"/>
      <c r="AE94" s="31"/>
      <c r="AF94" s="31"/>
      <c r="AG94" s="31"/>
      <c r="AH94" s="31"/>
      <c r="AI94" s="31"/>
      <c r="AJ94" s="31"/>
      <c r="AK94" s="31"/>
      <c r="AL94" s="30"/>
      <c r="AM94" s="30"/>
      <c r="AN94" s="30"/>
      <c r="AO94" s="30"/>
      <c r="AP94" s="30">
        <v>32</v>
      </c>
      <c r="AQ94" s="30"/>
      <c r="AR94" s="30"/>
      <c r="AS94" s="31"/>
      <c r="AT94" s="31"/>
      <c r="AU94" s="31"/>
      <c r="AV94" s="31"/>
      <c r="AW94" s="31"/>
      <c r="AX94" s="31"/>
      <c r="AY94" s="31"/>
      <c r="AZ94" s="30"/>
      <c r="BA94" s="30"/>
      <c r="BB94" s="30"/>
      <c r="BC94" s="30"/>
      <c r="BD94" s="30"/>
      <c r="BE94" s="30"/>
      <c r="BF94" s="30"/>
      <c r="BG94" s="31"/>
      <c r="BH94" s="31"/>
      <c r="BI94" s="31"/>
      <c r="BJ94" s="31"/>
      <c r="BK94" s="31"/>
      <c r="BL94" s="31"/>
      <c r="BM94" s="31"/>
    </row>
    <row r="95" spans="1:65" ht="12.75" x14ac:dyDescent="0.2">
      <c r="A95" s="1"/>
      <c r="B95" s="8" t="s">
        <v>180</v>
      </c>
      <c r="C95" s="8" t="s">
        <v>138</v>
      </c>
      <c r="D95" s="8">
        <v>51103</v>
      </c>
      <c r="E95" s="8" t="s">
        <v>64</v>
      </c>
      <c r="F95" s="8" t="s">
        <v>32</v>
      </c>
      <c r="G95" s="25">
        <f t="shared" si="4"/>
        <v>0</v>
      </c>
      <c r="H95" s="26" t="str">
        <f ca="1">IFERROR(__xludf.DUMMYFUNCTION("IFERROR(AVERAGE(FILTER(J95:ZZ95/J$4:ZZ$4, J95:ZZ95&lt;&gt;"""")), """")"),"")</f>
        <v/>
      </c>
      <c r="I95" s="27" t="s">
        <v>21</v>
      </c>
      <c r="J95" s="30"/>
      <c r="K95" s="30"/>
      <c r="L95" s="30"/>
      <c r="M95" s="30"/>
      <c r="N95" s="30"/>
      <c r="O95" s="30"/>
      <c r="P95" s="30"/>
      <c r="Q95" s="31"/>
      <c r="R95" s="31"/>
      <c r="S95" s="31"/>
      <c r="T95" s="31"/>
      <c r="U95" s="31"/>
      <c r="V95" s="31"/>
      <c r="W95" s="31"/>
      <c r="X95" s="30"/>
      <c r="Y95" s="30"/>
      <c r="Z95" s="30"/>
      <c r="AA95" s="30"/>
      <c r="AB95" s="30"/>
      <c r="AC95" s="30"/>
      <c r="AD95" s="30"/>
      <c r="AE95" s="31"/>
      <c r="AF95" s="31"/>
      <c r="AG95" s="31"/>
      <c r="AH95" s="31"/>
      <c r="AI95" s="31"/>
      <c r="AJ95" s="31"/>
      <c r="AK95" s="31"/>
      <c r="AL95" s="30"/>
      <c r="AM95" s="30"/>
      <c r="AN95" s="30"/>
      <c r="AO95" s="30"/>
      <c r="AP95" s="30"/>
      <c r="AQ95" s="30"/>
      <c r="AR95" s="30"/>
      <c r="AS95" s="31"/>
      <c r="AT95" s="31"/>
      <c r="AU95" s="31"/>
      <c r="AV95" s="31"/>
      <c r="AW95" s="31"/>
      <c r="AX95" s="31"/>
      <c r="AY95" s="31"/>
      <c r="AZ95" s="30"/>
      <c r="BA95" s="30"/>
      <c r="BB95" s="30"/>
      <c r="BC95" s="30"/>
      <c r="BD95" s="30"/>
      <c r="BE95" s="30"/>
      <c r="BF95" s="30"/>
      <c r="BG95" s="31"/>
      <c r="BH95" s="31"/>
      <c r="BI95" s="31"/>
      <c r="BJ95" s="31"/>
      <c r="BK95" s="31"/>
      <c r="BL95" s="31"/>
      <c r="BM95" s="31"/>
    </row>
    <row r="96" spans="1:65" ht="12.75" x14ac:dyDescent="0.2">
      <c r="A96" s="1"/>
      <c r="B96" s="8" t="s">
        <v>42</v>
      </c>
      <c r="C96" s="8" t="s">
        <v>43</v>
      </c>
      <c r="D96" s="8">
        <v>51070</v>
      </c>
      <c r="E96" s="8" t="s">
        <v>64</v>
      </c>
      <c r="F96" s="8" t="s">
        <v>26</v>
      </c>
      <c r="G96" s="25">
        <f t="shared" si="4"/>
        <v>9</v>
      </c>
      <c r="H96" s="26">
        <f ca="1">IFERROR(__xludf.DUMMYFUNCTION("IFERROR(AVERAGE(FILTER(J96:ZZ96/J$4:ZZ$4, J96:ZZ96&lt;&gt;"""")), """")"),0.582504735093869)</f>
        <v>0.58250473509386902</v>
      </c>
      <c r="I96" s="27" t="s">
        <v>21</v>
      </c>
      <c r="J96" s="30"/>
      <c r="K96" s="30"/>
      <c r="L96" s="30"/>
      <c r="M96" s="30"/>
      <c r="N96" s="30"/>
      <c r="O96" s="30"/>
      <c r="P96" s="30"/>
      <c r="Q96" s="31"/>
      <c r="R96" s="31"/>
      <c r="S96" s="31"/>
      <c r="T96" s="31"/>
      <c r="U96" s="31"/>
      <c r="V96" s="31"/>
      <c r="W96" s="31"/>
      <c r="X96" s="30"/>
      <c r="Y96" s="30"/>
      <c r="Z96" s="30"/>
      <c r="AA96" s="30"/>
      <c r="AB96" s="30"/>
      <c r="AC96" s="30"/>
      <c r="AD96" s="30"/>
      <c r="AE96" s="31">
        <v>17</v>
      </c>
      <c r="AF96" s="31">
        <v>22</v>
      </c>
      <c r="AG96" s="31">
        <v>19</v>
      </c>
      <c r="AH96" s="31">
        <v>29</v>
      </c>
      <c r="AI96" s="31"/>
      <c r="AJ96" s="31">
        <v>25</v>
      </c>
      <c r="AK96" s="31"/>
      <c r="AL96" s="30">
        <v>24</v>
      </c>
      <c r="AM96" s="30"/>
      <c r="AN96" s="30">
        <v>22</v>
      </c>
      <c r="AO96" s="30">
        <v>13</v>
      </c>
      <c r="AP96" s="30"/>
      <c r="AQ96" s="30">
        <v>15</v>
      </c>
      <c r="AR96" s="30"/>
      <c r="AS96" s="31"/>
      <c r="AT96" s="31"/>
      <c r="AU96" s="31"/>
      <c r="AV96" s="31"/>
      <c r="AW96" s="31"/>
      <c r="AX96" s="31"/>
      <c r="AY96" s="31"/>
      <c r="AZ96" s="30"/>
      <c r="BA96" s="30"/>
      <c r="BB96" s="30"/>
      <c r="BC96" s="30"/>
      <c r="BD96" s="30"/>
      <c r="BE96" s="30"/>
      <c r="BF96" s="30"/>
      <c r="BG96" s="31"/>
      <c r="BH96" s="31"/>
      <c r="BI96" s="31"/>
      <c r="BJ96" s="31"/>
      <c r="BK96" s="31"/>
      <c r="BL96" s="31"/>
      <c r="BM96" s="31"/>
    </row>
    <row r="97" spans="1:65" ht="12.75" x14ac:dyDescent="0.2">
      <c r="A97" s="1"/>
      <c r="B97" s="8" t="s">
        <v>126</v>
      </c>
      <c r="C97" s="8" t="s">
        <v>127</v>
      </c>
      <c r="D97" s="8">
        <v>50661</v>
      </c>
      <c r="E97" s="8" t="s">
        <v>64</v>
      </c>
      <c r="F97" s="8" t="s">
        <v>75</v>
      </c>
      <c r="G97" s="25">
        <f t="shared" si="4"/>
        <v>6</v>
      </c>
      <c r="H97" s="26">
        <f ca="1">IFERROR(__xludf.DUMMYFUNCTION("IFERROR(AVERAGE(FILTER(J97:ZZ97/J$4:ZZ$4, J97:ZZ97&lt;&gt;"""")), """")"),0.60721784537574)</f>
        <v>0.60721784537573997</v>
      </c>
      <c r="I97" s="27" t="s">
        <v>21</v>
      </c>
      <c r="J97" s="30">
        <v>27</v>
      </c>
      <c r="K97" s="30"/>
      <c r="L97" s="30">
        <v>31</v>
      </c>
      <c r="M97" s="30"/>
      <c r="N97" s="30">
        <v>26</v>
      </c>
      <c r="O97" s="30"/>
      <c r="P97" s="30"/>
      <c r="Q97" s="31"/>
      <c r="R97" s="31"/>
      <c r="S97" s="31">
        <v>18</v>
      </c>
      <c r="T97" s="31">
        <v>20</v>
      </c>
      <c r="U97" s="31"/>
      <c r="V97" s="31"/>
      <c r="W97" s="31">
        <v>18</v>
      </c>
      <c r="X97" s="30"/>
      <c r="Y97" s="30"/>
      <c r="Z97" s="30"/>
      <c r="AA97" s="30"/>
      <c r="AB97" s="30"/>
      <c r="AC97" s="30"/>
      <c r="AD97" s="30"/>
      <c r="AE97" s="31"/>
      <c r="AF97" s="31"/>
      <c r="AG97" s="31"/>
      <c r="AH97" s="31"/>
      <c r="AI97" s="31"/>
      <c r="AJ97" s="31"/>
      <c r="AK97" s="31"/>
      <c r="AL97" s="30"/>
      <c r="AM97" s="30"/>
      <c r="AN97" s="30"/>
      <c r="AO97" s="30"/>
      <c r="AP97" s="30"/>
      <c r="AQ97" s="30"/>
      <c r="AR97" s="30"/>
      <c r="AS97" s="31"/>
      <c r="AT97" s="31"/>
      <c r="AU97" s="31"/>
      <c r="AV97" s="31"/>
      <c r="AW97" s="31"/>
      <c r="AX97" s="31"/>
      <c r="AY97" s="31"/>
      <c r="AZ97" s="30"/>
      <c r="BA97" s="30"/>
      <c r="BB97" s="30"/>
      <c r="BC97" s="30"/>
      <c r="BD97" s="30"/>
      <c r="BE97" s="30"/>
      <c r="BF97" s="30"/>
      <c r="BG97" s="31"/>
      <c r="BH97" s="31"/>
      <c r="BI97" s="31"/>
      <c r="BJ97" s="31"/>
      <c r="BK97" s="31"/>
      <c r="BL97" s="31"/>
      <c r="BM97" s="31"/>
    </row>
    <row r="98" spans="1:65" ht="12.75" x14ac:dyDescent="0.2">
      <c r="A98" s="1"/>
      <c r="B98" s="8" t="s">
        <v>61</v>
      </c>
      <c r="C98" s="8" t="s">
        <v>66</v>
      </c>
      <c r="D98" s="8">
        <v>50229</v>
      </c>
      <c r="E98" s="8" t="s">
        <v>64</v>
      </c>
      <c r="F98" s="8" t="s">
        <v>26</v>
      </c>
      <c r="G98" s="25">
        <f t="shared" si="4"/>
        <v>12</v>
      </c>
      <c r="H98" s="26">
        <f ca="1">IFERROR(__xludf.DUMMYFUNCTION("IFERROR(AVERAGE(FILTER(J98:ZZ98/J$4:ZZ$4, J98:ZZ98&lt;&gt;"""")), """")"),0.747481530501105)</f>
        <v>0.747481530501105</v>
      </c>
      <c r="I98" s="27" t="s">
        <v>21</v>
      </c>
      <c r="J98" s="30"/>
      <c r="K98" s="30"/>
      <c r="L98" s="30">
        <v>35</v>
      </c>
      <c r="M98" s="30"/>
      <c r="N98" s="30"/>
      <c r="O98" s="30"/>
      <c r="P98" s="30"/>
      <c r="Q98" s="31">
        <v>27</v>
      </c>
      <c r="R98" s="31">
        <v>20</v>
      </c>
      <c r="S98" s="31">
        <v>26</v>
      </c>
      <c r="T98" s="31">
        <v>23</v>
      </c>
      <c r="U98" s="31"/>
      <c r="V98" s="31">
        <v>28</v>
      </c>
      <c r="W98" s="31">
        <v>30</v>
      </c>
      <c r="X98" s="30"/>
      <c r="Y98" s="30"/>
      <c r="Z98" s="30">
        <v>26</v>
      </c>
      <c r="AA98" s="30"/>
      <c r="AB98" s="30">
        <v>26</v>
      </c>
      <c r="AC98" s="30"/>
      <c r="AD98" s="30"/>
      <c r="AE98" s="31"/>
      <c r="AF98" s="31"/>
      <c r="AG98" s="31"/>
      <c r="AH98" s="31"/>
      <c r="AI98" s="31">
        <v>25</v>
      </c>
      <c r="AJ98" s="31"/>
      <c r="AK98" s="31"/>
      <c r="AL98" s="30"/>
      <c r="AM98" s="30">
        <v>30</v>
      </c>
      <c r="AN98" s="30"/>
      <c r="AO98" s="30"/>
      <c r="AP98" s="30"/>
      <c r="AQ98" s="30"/>
      <c r="AR98" s="30"/>
      <c r="AS98" s="31">
        <v>28</v>
      </c>
      <c r="AT98" s="31"/>
      <c r="AU98" s="31"/>
      <c r="AV98" s="31"/>
      <c r="AW98" s="31"/>
      <c r="AX98" s="31"/>
      <c r="AY98" s="31"/>
      <c r="AZ98" s="30"/>
      <c r="BA98" s="30"/>
      <c r="BB98" s="30"/>
      <c r="BC98" s="30"/>
      <c r="BD98" s="30"/>
      <c r="BE98" s="30"/>
      <c r="BF98" s="30"/>
      <c r="BG98" s="31"/>
      <c r="BH98" s="31"/>
      <c r="BI98" s="31"/>
      <c r="BJ98" s="31"/>
      <c r="BK98" s="31"/>
      <c r="BL98" s="31"/>
      <c r="BM98" s="31"/>
    </row>
    <row r="99" spans="1:65" ht="12.75" x14ac:dyDescent="0.2">
      <c r="A99" s="1"/>
      <c r="B99" s="8" t="s">
        <v>160</v>
      </c>
      <c r="C99" s="8" t="s">
        <v>181</v>
      </c>
      <c r="D99" s="8">
        <v>51179</v>
      </c>
      <c r="E99" s="8" t="s">
        <v>64</v>
      </c>
      <c r="F99" s="8" t="s">
        <v>32</v>
      </c>
      <c r="G99" s="25">
        <f t="shared" si="4"/>
        <v>1</v>
      </c>
      <c r="H99" s="26">
        <f ca="1">IFERROR(__xludf.DUMMYFUNCTION("IFERROR(AVERAGE(FILTER(J99:ZZ99/J$4:ZZ$4, J99:ZZ99&lt;&gt;"""")), """")"),0.552631578947368)</f>
        <v>0.55263157894736803</v>
      </c>
      <c r="I99" s="27" t="s">
        <v>21</v>
      </c>
      <c r="J99" s="30">
        <v>21</v>
      </c>
      <c r="K99" s="30"/>
      <c r="L99" s="30"/>
      <c r="M99" s="30"/>
      <c r="N99" s="30"/>
      <c r="O99" s="30"/>
      <c r="P99" s="30"/>
      <c r="Q99" s="31"/>
      <c r="R99" s="31"/>
      <c r="S99" s="31"/>
      <c r="T99" s="31"/>
      <c r="U99" s="31"/>
      <c r="V99" s="31"/>
      <c r="W99" s="31"/>
      <c r="X99" s="30"/>
      <c r="Y99" s="30"/>
      <c r="Z99" s="30"/>
      <c r="AA99" s="30"/>
      <c r="AB99" s="30"/>
      <c r="AC99" s="30"/>
      <c r="AD99" s="30"/>
      <c r="AE99" s="31"/>
      <c r="AF99" s="31"/>
      <c r="AG99" s="31"/>
      <c r="AH99" s="31"/>
      <c r="AI99" s="31"/>
      <c r="AJ99" s="31"/>
      <c r="AK99" s="31"/>
      <c r="AL99" s="30"/>
      <c r="AM99" s="30"/>
      <c r="AN99" s="30"/>
      <c r="AO99" s="30"/>
      <c r="AP99" s="30"/>
      <c r="AQ99" s="30"/>
      <c r="AR99" s="30"/>
      <c r="AS99" s="31"/>
      <c r="AT99" s="31"/>
      <c r="AU99" s="31"/>
      <c r="AV99" s="31"/>
      <c r="AW99" s="31"/>
      <c r="AX99" s="31"/>
      <c r="AY99" s="31"/>
      <c r="AZ99" s="30"/>
      <c r="BA99" s="30"/>
      <c r="BB99" s="30"/>
      <c r="BC99" s="30"/>
      <c r="BD99" s="30"/>
      <c r="BE99" s="30"/>
      <c r="BF99" s="30"/>
      <c r="BG99" s="31"/>
      <c r="BH99" s="31"/>
      <c r="BI99" s="31"/>
      <c r="BJ99" s="31"/>
      <c r="BK99" s="31"/>
      <c r="BL99" s="31"/>
      <c r="BM99" s="31"/>
    </row>
    <row r="100" spans="1:65" ht="12.75" x14ac:dyDescent="0.2">
      <c r="A100" s="1"/>
      <c r="B100" s="8" t="s">
        <v>146</v>
      </c>
      <c r="C100" s="8" t="s">
        <v>147</v>
      </c>
      <c r="D100" s="8">
        <v>60426</v>
      </c>
      <c r="E100" s="8" t="s">
        <v>64</v>
      </c>
      <c r="F100" s="8" t="s">
        <v>32</v>
      </c>
      <c r="G100" s="25">
        <f t="shared" si="4"/>
        <v>12</v>
      </c>
      <c r="H100" s="26">
        <f ca="1">IFERROR(__xludf.DUMMYFUNCTION("IFERROR(AVERAGE(FILTER(J100:ZZ100/J$4:ZZ$4, J100:ZZ100&lt;&gt;"""")), """")"),0.66087640534547)</f>
        <v>0.66087640534546999</v>
      </c>
      <c r="I100" s="27" t="s">
        <v>21</v>
      </c>
      <c r="J100" s="30">
        <v>16</v>
      </c>
      <c r="K100" s="30"/>
      <c r="L100" s="30"/>
      <c r="M100" s="30"/>
      <c r="N100" s="30"/>
      <c r="O100" s="30"/>
      <c r="P100" s="30"/>
      <c r="Q100" s="31"/>
      <c r="R100" s="31"/>
      <c r="S100" s="31"/>
      <c r="T100" s="31"/>
      <c r="U100" s="31"/>
      <c r="V100" s="31"/>
      <c r="W100" s="31"/>
      <c r="X100" s="30"/>
      <c r="Y100" s="30"/>
      <c r="Z100" s="30"/>
      <c r="AA100" s="30">
        <v>31</v>
      </c>
      <c r="AB100" s="30">
        <v>24</v>
      </c>
      <c r="AC100" s="30">
        <v>27</v>
      </c>
      <c r="AD100" s="30"/>
      <c r="AE100" s="31"/>
      <c r="AF100" s="31"/>
      <c r="AG100" s="31">
        <v>15</v>
      </c>
      <c r="AH100" s="31"/>
      <c r="AI100" s="31"/>
      <c r="AJ100" s="31">
        <v>19</v>
      </c>
      <c r="AK100" s="31"/>
      <c r="AL100" s="30">
        <v>30</v>
      </c>
      <c r="AM100" s="30">
        <v>26</v>
      </c>
      <c r="AN100" s="30">
        <v>31</v>
      </c>
      <c r="AO100" s="30">
        <v>20</v>
      </c>
      <c r="AP100" s="30">
        <v>25</v>
      </c>
      <c r="AQ100" s="30">
        <v>23</v>
      </c>
      <c r="AR100" s="30"/>
      <c r="AS100" s="31"/>
      <c r="AT100" s="31"/>
      <c r="AU100" s="31"/>
      <c r="AV100" s="31"/>
      <c r="AW100" s="31"/>
      <c r="AX100" s="31"/>
      <c r="AY100" s="31"/>
      <c r="AZ100" s="30"/>
      <c r="BA100" s="30"/>
      <c r="BB100" s="30"/>
      <c r="BC100" s="30"/>
      <c r="BD100" s="30"/>
      <c r="BE100" s="30"/>
      <c r="BF100" s="30"/>
      <c r="BG100" s="31"/>
      <c r="BH100" s="31"/>
      <c r="BI100" s="31"/>
      <c r="BJ100" s="31"/>
      <c r="BK100" s="31"/>
      <c r="BL100" s="31"/>
      <c r="BM100" s="31"/>
    </row>
    <row r="101" spans="1:65" ht="12.75" x14ac:dyDescent="0.2">
      <c r="A101" s="1"/>
      <c r="B101" s="32"/>
      <c r="C101" s="32"/>
      <c r="D101" s="32"/>
      <c r="E101" s="32"/>
      <c r="F101" s="32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</row>
    <row r="102" spans="1:65" ht="12.75" x14ac:dyDescent="0.2">
      <c r="A102" s="1"/>
      <c r="B102" s="8" t="s">
        <v>67</v>
      </c>
      <c r="C102" s="8" t="s">
        <v>68</v>
      </c>
      <c r="D102" s="8">
        <v>60278</v>
      </c>
      <c r="E102" s="8" t="s">
        <v>69</v>
      </c>
      <c r="F102" s="8" t="s">
        <v>26</v>
      </c>
      <c r="G102" s="25">
        <f t="shared" ref="G102:G107" si="5">COUNT(J102:ZZ102)</f>
        <v>1</v>
      </c>
      <c r="H102" s="26">
        <f ca="1">IFERROR(__xludf.DUMMYFUNCTION("IFERROR(AVERAGE(FILTER(J102:ZZ102/J$5:ZZ$5, J102:ZZ102&lt;&gt;"""")), """")"),1)</f>
        <v>1</v>
      </c>
      <c r="I102" s="27" t="s">
        <v>21</v>
      </c>
      <c r="J102" s="30"/>
      <c r="K102" s="30"/>
      <c r="L102" s="30"/>
      <c r="M102" s="30"/>
      <c r="N102" s="30"/>
      <c r="O102" s="30"/>
      <c r="P102" s="30"/>
      <c r="Q102" s="31"/>
      <c r="R102" s="31"/>
      <c r="S102" s="31"/>
      <c r="T102" s="31"/>
      <c r="U102" s="31"/>
      <c r="V102" s="31"/>
      <c r="W102" s="31"/>
      <c r="X102" s="30"/>
      <c r="Y102" s="30"/>
      <c r="Z102" s="30"/>
      <c r="AA102" s="30"/>
      <c r="AB102" s="30"/>
      <c r="AC102" s="30"/>
      <c r="AD102" s="30"/>
      <c r="AE102" s="31"/>
      <c r="AF102" s="31"/>
      <c r="AG102" s="31"/>
      <c r="AH102" s="31"/>
      <c r="AI102" s="31"/>
      <c r="AJ102" s="31"/>
      <c r="AK102" s="31"/>
      <c r="AL102" s="30"/>
      <c r="AM102" s="30"/>
      <c r="AN102" s="30"/>
      <c r="AO102" s="30"/>
      <c r="AP102" s="30"/>
      <c r="AQ102" s="30"/>
      <c r="AR102" s="30"/>
      <c r="AS102" s="31">
        <v>38</v>
      </c>
      <c r="AT102" s="31"/>
      <c r="AU102" s="31"/>
      <c r="AV102" s="31"/>
      <c r="AW102" s="31"/>
      <c r="AX102" s="31"/>
      <c r="AY102" s="31"/>
      <c r="AZ102" s="30"/>
      <c r="BA102" s="30"/>
      <c r="BB102" s="30"/>
      <c r="BC102" s="30"/>
      <c r="BD102" s="30"/>
      <c r="BE102" s="30"/>
      <c r="BF102" s="30"/>
      <c r="BG102" s="31"/>
      <c r="BH102" s="31"/>
      <c r="BI102" s="31"/>
      <c r="BJ102" s="31"/>
      <c r="BK102" s="31"/>
      <c r="BL102" s="31"/>
      <c r="BM102" s="31"/>
    </row>
    <row r="103" spans="1:65" ht="12.75" x14ac:dyDescent="0.2">
      <c r="A103" s="1"/>
      <c r="B103" s="8" t="s">
        <v>73</v>
      </c>
      <c r="C103" s="8" t="s">
        <v>74</v>
      </c>
      <c r="D103" s="8">
        <v>50919</v>
      </c>
      <c r="E103" s="8" t="s">
        <v>69</v>
      </c>
      <c r="F103" s="8" t="s">
        <v>75</v>
      </c>
      <c r="G103" s="25">
        <f t="shared" si="5"/>
        <v>1</v>
      </c>
      <c r="H103" s="26">
        <f ca="1">IFERROR(__xludf.DUMMYFUNCTION("IFERROR(AVERAGE(FILTER(J103:ZZ103/J$5:ZZ$5, J103:ZZ103&lt;&gt;"""")), """")"),0.868421052631579)</f>
        <v>0.86842105263157898</v>
      </c>
      <c r="I103" s="27" t="s">
        <v>21</v>
      </c>
      <c r="J103" s="30"/>
      <c r="K103" s="30"/>
      <c r="L103" s="30"/>
      <c r="M103" s="30"/>
      <c r="N103" s="30"/>
      <c r="O103" s="30"/>
      <c r="P103" s="30"/>
      <c r="Q103" s="31"/>
      <c r="R103" s="31"/>
      <c r="S103" s="31"/>
      <c r="T103" s="31"/>
      <c r="U103" s="31"/>
      <c r="V103" s="31"/>
      <c r="W103" s="31"/>
      <c r="X103" s="30"/>
      <c r="Y103" s="30"/>
      <c r="Z103" s="30"/>
      <c r="AA103" s="30"/>
      <c r="AB103" s="30"/>
      <c r="AC103" s="30"/>
      <c r="AD103" s="30"/>
      <c r="AE103" s="31"/>
      <c r="AF103" s="31"/>
      <c r="AG103" s="31"/>
      <c r="AH103" s="31"/>
      <c r="AI103" s="31"/>
      <c r="AJ103" s="31"/>
      <c r="AK103" s="31"/>
      <c r="AL103" s="30"/>
      <c r="AM103" s="30"/>
      <c r="AN103" s="30"/>
      <c r="AO103" s="30"/>
      <c r="AP103" s="30"/>
      <c r="AQ103" s="30"/>
      <c r="AR103" s="30"/>
      <c r="AS103" s="31">
        <v>33</v>
      </c>
      <c r="AT103" s="31"/>
      <c r="AU103" s="31"/>
      <c r="AV103" s="31"/>
      <c r="AW103" s="31"/>
      <c r="AX103" s="31"/>
      <c r="AY103" s="31"/>
      <c r="AZ103" s="30"/>
      <c r="BA103" s="30"/>
      <c r="BB103" s="30"/>
      <c r="BC103" s="30"/>
      <c r="BD103" s="30"/>
      <c r="BE103" s="30"/>
      <c r="BF103" s="30"/>
      <c r="BG103" s="31"/>
      <c r="BH103" s="31"/>
      <c r="BI103" s="31"/>
      <c r="BJ103" s="31"/>
      <c r="BK103" s="31"/>
      <c r="BL103" s="31"/>
      <c r="BM103" s="31"/>
    </row>
    <row r="104" spans="1:65" ht="12.75" x14ac:dyDescent="0.2">
      <c r="A104" s="1"/>
      <c r="B104" s="8" t="s">
        <v>76</v>
      </c>
      <c r="C104" s="8" t="s">
        <v>77</v>
      </c>
      <c r="D104" s="8">
        <v>50022</v>
      </c>
      <c r="E104" s="8" t="s">
        <v>69</v>
      </c>
      <c r="F104" s="8" t="s">
        <v>41</v>
      </c>
      <c r="G104" s="25">
        <f t="shared" si="5"/>
        <v>1</v>
      </c>
      <c r="H104" s="26">
        <f ca="1">IFERROR(__xludf.DUMMYFUNCTION("IFERROR(AVERAGE(FILTER(J104:ZZ104/J$5:ZZ$5, J104:ZZ104&lt;&gt;"""")), """")"),0.789473684210526)</f>
        <v>0.78947368421052599</v>
      </c>
      <c r="I104" s="27" t="s">
        <v>21</v>
      </c>
      <c r="J104" s="30"/>
      <c r="K104" s="30"/>
      <c r="L104" s="30"/>
      <c r="M104" s="30"/>
      <c r="N104" s="30"/>
      <c r="O104" s="30"/>
      <c r="P104" s="30"/>
      <c r="Q104" s="31"/>
      <c r="R104" s="31"/>
      <c r="S104" s="31"/>
      <c r="T104" s="31"/>
      <c r="U104" s="31"/>
      <c r="V104" s="31"/>
      <c r="W104" s="31"/>
      <c r="X104" s="30"/>
      <c r="Y104" s="30"/>
      <c r="Z104" s="30"/>
      <c r="AA104" s="30"/>
      <c r="AB104" s="30"/>
      <c r="AC104" s="30"/>
      <c r="AD104" s="30"/>
      <c r="AE104" s="31"/>
      <c r="AF104" s="31"/>
      <c r="AG104" s="31"/>
      <c r="AH104" s="31"/>
      <c r="AI104" s="31"/>
      <c r="AJ104" s="31"/>
      <c r="AK104" s="31"/>
      <c r="AL104" s="30"/>
      <c r="AM104" s="30"/>
      <c r="AN104" s="30"/>
      <c r="AO104" s="30"/>
      <c r="AP104" s="30"/>
      <c r="AQ104" s="30"/>
      <c r="AR104" s="30"/>
      <c r="AS104" s="31">
        <v>30</v>
      </c>
      <c r="AT104" s="31"/>
      <c r="AU104" s="31"/>
      <c r="AV104" s="31"/>
      <c r="AW104" s="31"/>
      <c r="AX104" s="31"/>
      <c r="AY104" s="31"/>
      <c r="AZ104" s="30"/>
      <c r="BA104" s="30"/>
      <c r="BB104" s="30"/>
      <c r="BC104" s="30"/>
      <c r="BD104" s="30"/>
      <c r="BE104" s="30"/>
      <c r="BF104" s="30"/>
      <c r="BG104" s="31"/>
      <c r="BH104" s="31"/>
      <c r="BI104" s="31"/>
      <c r="BJ104" s="31"/>
      <c r="BK104" s="31"/>
      <c r="BL104" s="31"/>
      <c r="BM104" s="31"/>
    </row>
    <row r="105" spans="1:65" ht="12.75" x14ac:dyDescent="0.2">
      <c r="A105" s="1"/>
      <c r="B105" s="8" t="s">
        <v>70</v>
      </c>
      <c r="C105" s="8" t="s">
        <v>71</v>
      </c>
      <c r="D105" s="8">
        <v>51081</v>
      </c>
      <c r="E105" s="8" t="s">
        <v>69</v>
      </c>
      <c r="F105" s="8" t="s">
        <v>26</v>
      </c>
      <c r="G105" s="25">
        <f t="shared" si="5"/>
        <v>1</v>
      </c>
      <c r="H105" s="26">
        <f ca="1">IFERROR(__xludf.DUMMYFUNCTION("IFERROR(AVERAGE(FILTER(J105:ZZ105/J$5:ZZ$5, J105:ZZ105&lt;&gt;"""")), """")"),0.921052631578947)</f>
        <v>0.92105263157894701</v>
      </c>
      <c r="I105" s="27" t="s">
        <v>21</v>
      </c>
      <c r="J105" s="30"/>
      <c r="K105" s="30"/>
      <c r="L105" s="30"/>
      <c r="M105" s="30"/>
      <c r="N105" s="30"/>
      <c r="O105" s="30"/>
      <c r="P105" s="30"/>
      <c r="Q105" s="31"/>
      <c r="R105" s="31"/>
      <c r="S105" s="31"/>
      <c r="T105" s="31"/>
      <c r="U105" s="31"/>
      <c r="V105" s="31"/>
      <c r="W105" s="31"/>
      <c r="X105" s="30"/>
      <c r="Y105" s="30"/>
      <c r="Z105" s="30"/>
      <c r="AA105" s="30"/>
      <c r="AB105" s="30"/>
      <c r="AC105" s="30"/>
      <c r="AD105" s="30"/>
      <c r="AE105" s="31"/>
      <c r="AF105" s="31"/>
      <c r="AG105" s="31"/>
      <c r="AH105" s="31"/>
      <c r="AI105" s="31"/>
      <c r="AJ105" s="31"/>
      <c r="AK105" s="31"/>
      <c r="AL105" s="30"/>
      <c r="AM105" s="30"/>
      <c r="AN105" s="30"/>
      <c r="AO105" s="30"/>
      <c r="AP105" s="30"/>
      <c r="AQ105" s="30"/>
      <c r="AR105" s="30"/>
      <c r="AS105" s="31">
        <v>35</v>
      </c>
      <c r="AT105" s="31"/>
      <c r="AU105" s="31"/>
      <c r="AV105" s="31"/>
      <c r="AW105" s="31"/>
      <c r="AX105" s="31"/>
      <c r="AY105" s="31"/>
      <c r="AZ105" s="30"/>
      <c r="BA105" s="30"/>
      <c r="BB105" s="30"/>
      <c r="BC105" s="30"/>
      <c r="BD105" s="30"/>
      <c r="BE105" s="30"/>
      <c r="BF105" s="30"/>
      <c r="BG105" s="31"/>
      <c r="BH105" s="31"/>
      <c r="BI105" s="31"/>
      <c r="BJ105" s="31"/>
      <c r="BK105" s="31"/>
      <c r="BL105" s="31"/>
      <c r="BM105" s="31"/>
    </row>
    <row r="106" spans="1:65" ht="12.75" x14ac:dyDescent="0.2">
      <c r="A106" s="1"/>
      <c r="B106" s="8" t="s">
        <v>78</v>
      </c>
      <c r="C106" s="8" t="s">
        <v>79</v>
      </c>
      <c r="D106" s="8">
        <v>50826</v>
      </c>
      <c r="E106" s="8" t="s">
        <v>69</v>
      </c>
      <c r="F106" s="8" t="s">
        <v>26</v>
      </c>
      <c r="G106" s="25">
        <f t="shared" si="5"/>
        <v>1</v>
      </c>
      <c r="H106" s="26">
        <f ca="1">IFERROR(__xludf.DUMMYFUNCTION("IFERROR(AVERAGE(FILTER(J106:ZZ106/J$5:ZZ$5, J106:ZZ106&lt;&gt;"""")), """")"),0.605263157894736)</f>
        <v>0.60526315789473595</v>
      </c>
      <c r="I106" s="27" t="s">
        <v>21</v>
      </c>
      <c r="J106" s="30"/>
      <c r="K106" s="30"/>
      <c r="L106" s="30"/>
      <c r="M106" s="30"/>
      <c r="N106" s="30"/>
      <c r="O106" s="30"/>
      <c r="P106" s="30"/>
      <c r="Q106" s="31"/>
      <c r="R106" s="31"/>
      <c r="S106" s="31"/>
      <c r="T106" s="31"/>
      <c r="U106" s="31"/>
      <c r="V106" s="31"/>
      <c r="W106" s="31"/>
      <c r="X106" s="30"/>
      <c r="Y106" s="30"/>
      <c r="Z106" s="30"/>
      <c r="AA106" s="30"/>
      <c r="AB106" s="30"/>
      <c r="AC106" s="30"/>
      <c r="AD106" s="30"/>
      <c r="AE106" s="31"/>
      <c r="AF106" s="31"/>
      <c r="AG106" s="31"/>
      <c r="AH106" s="31"/>
      <c r="AI106" s="31"/>
      <c r="AJ106" s="31"/>
      <c r="AK106" s="31"/>
      <c r="AL106" s="30"/>
      <c r="AM106" s="30"/>
      <c r="AN106" s="30"/>
      <c r="AO106" s="30"/>
      <c r="AP106" s="30"/>
      <c r="AQ106" s="30"/>
      <c r="AR106" s="30"/>
      <c r="AS106" s="31">
        <v>23</v>
      </c>
      <c r="AT106" s="31"/>
      <c r="AU106" s="31"/>
      <c r="AV106" s="31"/>
      <c r="AW106" s="31"/>
      <c r="AX106" s="31"/>
      <c r="AY106" s="31"/>
      <c r="AZ106" s="30"/>
      <c r="BA106" s="30"/>
      <c r="BB106" s="30"/>
      <c r="BC106" s="30"/>
      <c r="BD106" s="30"/>
      <c r="BE106" s="30"/>
      <c r="BF106" s="30"/>
      <c r="BG106" s="31"/>
      <c r="BH106" s="31"/>
      <c r="BI106" s="31"/>
      <c r="BJ106" s="31"/>
      <c r="BK106" s="31"/>
      <c r="BL106" s="31"/>
      <c r="BM106" s="31"/>
    </row>
    <row r="107" spans="1:65" ht="12.75" x14ac:dyDescent="0.2">
      <c r="A107" s="1"/>
      <c r="B107" s="8" t="s">
        <v>31</v>
      </c>
      <c r="C107" s="8" t="s">
        <v>72</v>
      </c>
      <c r="D107" s="8">
        <v>50702</v>
      </c>
      <c r="E107" s="8" t="s">
        <v>69</v>
      </c>
      <c r="F107" s="8" t="s">
        <v>26</v>
      </c>
      <c r="G107" s="25">
        <f t="shared" si="5"/>
        <v>1</v>
      </c>
      <c r="H107" s="26">
        <f ca="1">IFERROR(__xludf.DUMMYFUNCTION("IFERROR(AVERAGE(FILTER(J107:ZZ107/J$5:ZZ$5, J107:ZZ107&lt;&gt;"""")), """")"),0.921052631578947)</f>
        <v>0.92105263157894701</v>
      </c>
      <c r="I107" s="27" t="s">
        <v>21</v>
      </c>
      <c r="J107" s="30"/>
      <c r="K107" s="30"/>
      <c r="L107" s="30"/>
      <c r="M107" s="30"/>
      <c r="N107" s="30"/>
      <c r="O107" s="30"/>
      <c r="P107" s="30"/>
      <c r="Q107" s="31"/>
      <c r="R107" s="31"/>
      <c r="S107" s="31"/>
      <c r="T107" s="31"/>
      <c r="U107" s="31"/>
      <c r="V107" s="31"/>
      <c r="W107" s="31"/>
      <c r="X107" s="30"/>
      <c r="Y107" s="30"/>
      <c r="Z107" s="30"/>
      <c r="AA107" s="30"/>
      <c r="AB107" s="30"/>
      <c r="AC107" s="30"/>
      <c r="AD107" s="30"/>
      <c r="AE107" s="31"/>
      <c r="AF107" s="31"/>
      <c r="AG107" s="31"/>
      <c r="AH107" s="31"/>
      <c r="AI107" s="31"/>
      <c r="AJ107" s="31"/>
      <c r="AK107" s="31"/>
      <c r="AL107" s="30"/>
      <c r="AM107" s="30"/>
      <c r="AN107" s="30"/>
      <c r="AO107" s="30"/>
      <c r="AP107" s="30"/>
      <c r="AQ107" s="30"/>
      <c r="AR107" s="30"/>
      <c r="AS107" s="31">
        <v>35</v>
      </c>
      <c r="AT107" s="31"/>
      <c r="AU107" s="31"/>
      <c r="AV107" s="31"/>
      <c r="AW107" s="31"/>
      <c r="AX107" s="31"/>
      <c r="AY107" s="31"/>
      <c r="AZ107" s="30"/>
      <c r="BA107" s="30"/>
      <c r="BB107" s="30"/>
      <c r="BC107" s="30"/>
      <c r="BD107" s="30"/>
      <c r="BE107" s="30"/>
      <c r="BF107" s="30"/>
      <c r="BG107" s="31"/>
      <c r="BH107" s="31"/>
      <c r="BI107" s="31"/>
      <c r="BJ107" s="31"/>
      <c r="BK107" s="31"/>
      <c r="BL107" s="31"/>
      <c r="BM107" s="31"/>
    </row>
    <row r="108" spans="1:65" ht="12.75" x14ac:dyDescent="0.2">
      <c r="A108" s="1"/>
      <c r="B108" s="32"/>
      <c r="C108" s="32"/>
      <c r="D108" s="32"/>
      <c r="E108" s="32"/>
      <c r="F108" s="32"/>
      <c r="G108" s="32"/>
      <c r="H108" s="32"/>
      <c r="I108" s="35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</row>
    <row r="109" spans="1:65" ht="12.75" x14ac:dyDescent="0.2">
      <c r="A109" s="1"/>
      <c r="B109" s="8" t="s">
        <v>31</v>
      </c>
      <c r="C109" s="8" t="s">
        <v>40</v>
      </c>
      <c r="D109" s="8">
        <v>51220</v>
      </c>
      <c r="E109" s="8" t="s">
        <v>80</v>
      </c>
      <c r="F109" s="8" t="s">
        <v>75</v>
      </c>
      <c r="G109" s="25">
        <f t="shared" ref="G109:G110" si="6">COUNT(J109:ZZ109)</f>
        <v>1</v>
      </c>
      <c r="H109" s="26">
        <f ca="1">IFERROR(__xludf.DUMMYFUNCTION("IFERROR(AVERAGE(FILTER(J109:ZZ109/J$5:ZZ$5, J109:ZZ109&lt;&gt;"""")), """")"),0.763157894736842)</f>
        <v>0.76315789473684204</v>
      </c>
      <c r="I109" s="27" t="s">
        <v>21</v>
      </c>
      <c r="J109" s="30"/>
      <c r="K109" s="30"/>
      <c r="L109" s="30"/>
      <c r="M109" s="30"/>
      <c r="N109" s="30"/>
      <c r="O109" s="30"/>
      <c r="P109" s="30"/>
      <c r="Q109" s="31"/>
      <c r="R109" s="31"/>
      <c r="S109" s="31"/>
      <c r="T109" s="31"/>
      <c r="U109" s="31"/>
      <c r="V109" s="31"/>
      <c r="W109" s="31"/>
      <c r="X109" s="30"/>
      <c r="Y109" s="30"/>
      <c r="Z109" s="30"/>
      <c r="AA109" s="30"/>
      <c r="AB109" s="30"/>
      <c r="AC109" s="30"/>
      <c r="AD109" s="30"/>
      <c r="AE109" s="31"/>
      <c r="AF109" s="31"/>
      <c r="AG109" s="31"/>
      <c r="AH109" s="31"/>
      <c r="AI109" s="31"/>
      <c r="AJ109" s="31"/>
      <c r="AK109" s="31"/>
      <c r="AL109" s="30"/>
      <c r="AM109" s="30"/>
      <c r="AN109" s="30"/>
      <c r="AO109" s="30"/>
      <c r="AP109" s="30"/>
      <c r="AQ109" s="30"/>
      <c r="AR109" s="30"/>
      <c r="AS109" s="31">
        <v>29</v>
      </c>
      <c r="AT109" s="31"/>
      <c r="AU109" s="31"/>
      <c r="AV109" s="31"/>
      <c r="AW109" s="31"/>
      <c r="AX109" s="31"/>
      <c r="AY109" s="31"/>
      <c r="AZ109" s="30"/>
      <c r="BA109" s="30"/>
      <c r="BB109" s="30"/>
      <c r="BC109" s="30"/>
      <c r="BD109" s="30"/>
      <c r="BE109" s="30"/>
      <c r="BF109" s="30"/>
      <c r="BG109" s="31"/>
      <c r="BH109" s="31"/>
      <c r="BI109" s="31"/>
      <c r="BJ109" s="31"/>
      <c r="BK109" s="31"/>
      <c r="BL109" s="31"/>
      <c r="BM109" s="31"/>
    </row>
    <row r="110" spans="1:65" ht="12.75" x14ac:dyDescent="0.2">
      <c r="A110" s="1"/>
      <c r="B110" s="8" t="s">
        <v>81</v>
      </c>
      <c r="C110" s="8" t="s">
        <v>82</v>
      </c>
      <c r="D110" s="8">
        <v>51222</v>
      </c>
      <c r="E110" s="8" t="s">
        <v>80</v>
      </c>
      <c r="F110" s="8" t="s">
        <v>75</v>
      </c>
      <c r="G110" s="25">
        <f t="shared" si="6"/>
        <v>1</v>
      </c>
      <c r="H110" s="26">
        <f ca="1">IFERROR(__xludf.DUMMYFUNCTION("IFERROR(AVERAGE(FILTER(J110:ZZ110/J$5:ZZ$5, J110:ZZ110&lt;&gt;"""")), """")"),0.710526315789473)</f>
        <v>0.71052631578947301</v>
      </c>
      <c r="I110" s="27" t="s">
        <v>21</v>
      </c>
      <c r="J110" s="30"/>
      <c r="K110" s="30"/>
      <c r="L110" s="30"/>
      <c r="M110" s="30"/>
      <c r="N110" s="30"/>
      <c r="O110" s="30"/>
      <c r="P110" s="30"/>
      <c r="Q110" s="31"/>
      <c r="R110" s="31"/>
      <c r="S110" s="31"/>
      <c r="T110" s="31"/>
      <c r="U110" s="31"/>
      <c r="V110" s="31"/>
      <c r="W110" s="31"/>
      <c r="X110" s="30"/>
      <c r="Y110" s="30"/>
      <c r="Z110" s="30"/>
      <c r="AA110" s="30"/>
      <c r="AB110" s="30"/>
      <c r="AC110" s="30"/>
      <c r="AD110" s="30"/>
      <c r="AE110" s="31"/>
      <c r="AF110" s="31"/>
      <c r="AG110" s="31"/>
      <c r="AH110" s="31"/>
      <c r="AI110" s="31"/>
      <c r="AJ110" s="31"/>
      <c r="AK110" s="31"/>
      <c r="AL110" s="30"/>
      <c r="AM110" s="30"/>
      <c r="AN110" s="30"/>
      <c r="AO110" s="30"/>
      <c r="AP110" s="30"/>
      <c r="AQ110" s="30"/>
      <c r="AR110" s="30"/>
      <c r="AS110" s="31">
        <v>27</v>
      </c>
      <c r="AT110" s="31"/>
      <c r="AU110" s="31"/>
      <c r="AV110" s="31"/>
      <c r="AW110" s="31"/>
      <c r="AX110" s="31"/>
      <c r="AY110" s="31"/>
      <c r="AZ110" s="30"/>
      <c r="BA110" s="30"/>
      <c r="BB110" s="30"/>
      <c r="BC110" s="30"/>
      <c r="BD110" s="30"/>
      <c r="BE110" s="30"/>
      <c r="BF110" s="30"/>
      <c r="BG110" s="31"/>
      <c r="BH110" s="31"/>
      <c r="BI110" s="31"/>
      <c r="BJ110" s="31"/>
      <c r="BK110" s="31"/>
      <c r="BL110" s="31"/>
      <c r="BM110" s="31"/>
    </row>
    <row r="111" spans="1:65" ht="12.75" x14ac:dyDescent="0.2">
      <c r="A111" s="1"/>
      <c r="B111" s="32"/>
      <c r="C111" s="32"/>
      <c r="D111" s="32"/>
      <c r="E111" s="32"/>
      <c r="F111" s="32"/>
      <c r="G111" s="32"/>
      <c r="H111" s="32"/>
      <c r="I111" s="35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</row>
    <row r="112" spans="1:65" ht="12.75" x14ac:dyDescent="0.2">
      <c r="A112" s="1"/>
      <c r="B112" s="8" t="s">
        <v>83</v>
      </c>
      <c r="C112" s="8" t="s">
        <v>84</v>
      </c>
      <c r="D112" s="8" t="s">
        <v>53</v>
      </c>
      <c r="E112" s="8" t="s">
        <v>85</v>
      </c>
      <c r="F112" s="8" t="s">
        <v>53</v>
      </c>
      <c r="G112" s="25">
        <f>COUNT(J112:ZZ112)</f>
        <v>1</v>
      </c>
      <c r="H112" s="26">
        <f ca="1">IFERROR(__xludf.DUMMYFUNCTION("IFERROR(AVERAGE(FILTER(J112:ZZ112/J$5:ZZ$5, J112:ZZ112&lt;&gt;"""")), """")"),0.947368421052631)</f>
        <v>0.94736842105263097</v>
      </c>
      <c r="I112" s="27" t="s">
        <v>21</v>
      </c>
      <c r="J112" s="30"/>
      <c r="K112" s="30"/>
      <c r="L112" s="30"/>
      <c r="M112" s="30"/>
      <c r="N112" s="30"/>
      <c r="O112" s="30"/>
      <c r="P112" s="30"/>
      <c r="Q112" s="31"/>
      <c r="R112" s="31"/>
      <c r="S112" s="31"/>
      <c r="T112" s="31"/>
      <c r="U112" s="31"/>
      <c r="V112" s="31"/>
      <c r="W112" s="31"/>
      <c r="X112" s="30"/>
      <c r="Y112" s="30"/>
      <c r="Z112" s="30"/>
      <c r="AA112" s="30"/>
      <c r="AB112" s="30"/>
      <c r="AC112" s="30"/>
      <c r="AD112" s="30"/>
      <c r="AE112" s="31"/>
      <c r="AF112" s="31"/>
      <c r="AG112" s="31"/>
      <c r="AH112" s="31"/>
      <c r="AI112" s="31"/>
      <c r="AJ112" s="31"/>
      <c r="AK112" s="31"/>
      <c r="AL112" s="30"/>
      <c r="AM112" s="30"/>
      <c r="AN112" s="30"/>
      <c r="AO112" s="30"/>
      <c r="AP112" s="30"/>
      <c r="AQ112" s="30"/>
      <c r="AR112" s="30"/>
      <c r="AS112" s="31">
        <v>36</v>
      </c>
      <c r="AT112" s="31"/>
      <c r="AU112" s="31"/>
      <c r="AV112" s="31"/>
      <c r="AW112" s="31"/>
      <c r="AX112" s="31"/>
      <c r="AY112" s="31"/>
      <c r="AZ112" s="30"/>
      <c r="BA112" s="30"/>
      <c r="BB112" s="30"/>
      <c r="BC112" s="30"/>
      <c r="BD112" s="30"/>
      <c r="BE112" s="30"/>
      <c r="BF112" s="30"/>
      <c r="BG112" s="31"/>
      <c r="BH112" s="31"/>
      <c r="BI112" s="31"/>
      <c r="BJ112" s="31"/>
      <c r="BK112" s="31"/>
      <c r="BL112" s="31"/>
      <c r="BM112" s="31"/>
    </row>
    <row r="113" spans="1:65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</row>
    <row r="114" spans="1:65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</row>
    <row r="115" spans="1:65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</row>
    <row r="116" spans="1:65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</row>
    <row r="117" spans="1:65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</row>
    <row r="118" spans="1:65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</row>
    <row r="119" spans="1:65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</row>
    <row r="120" spans="1:65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</row>
    <row r="121" spans="1:65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</row>
    <row r="122" spans="1:65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</row>
    <row r="123" spans="1:65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</row>
    <row r="124" spans="1:65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</row>
    <row r="125" spans="1:65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</row>
    <row r="126" spans="1:65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</row>
    <row r="127" spans="1:65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</row>
    <row r="128" spans="1:65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</row>
    <row r="129" spans="1:65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</row>
    <row r="130" spans="1:65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</row>
    <row r="131" spans="1:65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</row>
    <row r="132" spans="1:65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</row>
    <row r="133" spans="1:65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</row>
    <row r="134" spans="1:65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</row>
    <row r="135" spans="1:65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</row>
    <row r="136" spans="1:65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</row>
    <row r="137" spans="1:65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</row>
    <row r="138" spans="1:65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</row>
    <row r="139" spans="1:65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</row>
    <row r="140" spans="1:65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</row>
    <row r="141" spans="1:65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</row>
    <row r="142" spans="1:65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</row>
    <row r="143" spans="1:65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</row>
    <row r="144" spans="1:65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</row>
    <row r="145" spans="1:65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</row>
    <row r="146" spans="1:65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</row>
    <row r="147" spans="1:65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</row>
    <row r="148" spans="1:65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</row>
    <row r="149" spans="1:65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</row>
    <row r="150" spans="1:65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</row>
    <row r="151" spans="1:65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</row>
    <row r="152" spans="1:65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</row>
    <row r="153" spans="1:65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</row>
    <row r="154" spans="1:65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</row>
    <row r="155" spans="1:65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</row>
    <row r="156" spans="1:65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</row>
    <row r="157" spans="1:65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</row>
    <row r="158" spans="1:65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</row>
    <row r="159" spans="1:65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</row>
    <row r="160" spans="1:65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</row>
    <row r="161" spans="1:65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</row>
    <row r="162" spans="1:65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</row>
    <row r="163" spans="1:65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</row>
    <row r="164" spans="1:65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</row>
    <row r="165" spans="1:65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</row>
    <row r="166" spans="1:65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</row>
    <row r="167" spans="1:65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</row>
    <row r="168" spans="1:65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</row>
    <row r="169" spans="1:65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</row>
    <row r="170" spans="1:65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</row>
    <row r="171" spans="1:65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</row>
    <row r="172" spans="1:65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</row>
    <row r="173" spans="1:65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</row>
    <row r="174" spans="1:65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</row>
    <row r="175" spans="1:65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</row>
    <row r="176" spans="1:65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</row>
    <row r="177" spans="1:65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</row>
    <row r="178" spans="1:65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</row>
    <row r="179" spans="1:65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</row>
    <row r="180" spans="1:65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</row>
    <row r="181" spans="1:65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</row>
    <row r="182" spans="1:65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</row>
    <row r="183" spans="1:65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</row>
    <row r="184" spans="1:65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</row>
    <row r="185" spans="1:65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</row>
    <row r="186" spans="1:65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</row>
    <row r="187" spans="1:65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</row>
    <row r="188" spans="1:65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</row>
    <row r="189" spans="1:65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</row>
    <row r="190" spans="1:65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</row>
    <row r="191" spans="1:65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</row>
    <row r="192" spans="1:65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</row>
    <row r="193" spans="1:65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</row>
    <row r="194" spans="1:65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</row>
    <row r="195" spans="1:65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</row>
    <row r="196" spans="1:65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</row>
    <row r="197" spans="1:65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</row>
    <row r="198" spans="1:65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</row>
    <row r="199" spans="1:65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</row>
    <row r="200" spans="1:65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</row>
    <row r="201" spans="1:65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</row>
    <row r="202" spans="1:65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</row>
    <row r="203" spans="1:65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</row>
    <row r="204" spans="1:65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</row>
    <row r="205" spans="1:65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</row>
    <row r="206" spans="1:65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</row>
    <row r="207" spans="1:65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</row>
    <row r="208" spans="1:65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</row>
    <row r="209" spans="1:65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</row>
    <row r="210" spans="1:65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</row>
    <row r="211" spans="1:65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</row>
    <row r="212" spans="1:65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</row>
    <row r="213" spans="1:65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</row>
    <row r="214" spans="1:65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</row>
    <row r="215" spans="1:65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</row>
    <row r="216" spans="1:65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</row>
    <row r="217" spans="1:65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</row>
    <row r="218" spans="1:65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</row>
    <row r="219" spans="1:65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</row>
    <row r="220" spans="1:65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</row>
    <row r="221" spans="1:65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</row>
    <row r="222" spans="1:65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</row>
    <row r="223" spans="1:65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</row>
    <row r="224" spans="1:65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</row>
    <row r="225" spans="1:65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</row>
    <row r="226" spans="1:65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</row>
    <row r="227" spans="1:65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</row>
    <row r="228" spans="1:65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</row>
    <row r="229" spans="1:65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</row>
    <row r="230" spans="1:65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</row>
    <row r="231" spans="1:65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</row>
    <row r="232" spans="1:65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</row>
    <row r="233" spans="1:65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</row>
    <row r="234" spans="1:65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</row>
    <row r="235" spans="1:65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</row>
    <row r="236" spans="1:65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</row>
    <row r="237" spans="1:65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</row>
    <row r="238" spans="1:65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</row>
    <row r="239" spans="1:65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</row>
    <row r="240" spans="1:65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</row>
    <row r="241" spans="1:65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</row>
    <row r="242" spans="1:65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</row>
    <row r="243" spans="1:65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</row>
    <row r="244" spans="1:65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</row>
    <row r="245" spans="1:65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</row>
    <row r="246" spans="1:65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</row>
    <row r="247" spans="1:65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</row>
    <row r="248" spans="1:65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</row>
    <row r="249" spans="1:65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</row>
    <row r="250" spans="1:65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</row>
    <row r="251" spans="1:65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</row>
    <row r="252" spans="1:65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</row>
    <row r="253" spans="1:65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</row>
    <row r="254" spans="1:65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</row>
    <row r="255" spans="1:65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</row>
    <row r="256" spans="1:65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</row>
    <row r="257" spans="1:65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</row>
    <row r="258" spans="1:65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</row>
    <row r="259" spans="1:65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</row>
    <row r="260" spans="1:65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</row>
    <row r="261" spans="1:65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</row>
    <row r="262" spans="1:65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</row>
    <row r="263" spans="1:65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</row>
    <row r="264" spans="1:65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</row>
    <row r="265" spans="1:65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</row>
    <row r="266" spans="1:65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</row>
    <row r="267" spans="1:65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</row>
    <row r="268" spans="1:65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</row>
    <row r="269" spans="1:65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</row>
    <row r="270" spans="1:65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</row>
    <row r="271" spans="1:65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</row>
    <row r="272" spans="1:65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</row>
    <row r="273" spans="1:65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</row>
    <row r="274" spans="1:65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</row>
    <row r="275" spans="1:65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</row>
    <row r="276" spans="1:65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</row>
    <row r="277" spans="1:65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</row>
    <row r="278" spans="1:65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</row>
    <row r="279" spans="1:65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</row>
    <row r="280" spans="1:65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</row>
    <row r="281" spans="1:65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</row>
    <row r="282" spans="1:65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</row>
    <row r="283" spans="1:65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</row>
    <row r="284" spans="1:65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</row>
    <row r="285" spans="1:65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</row>
    <row r="286" spans="1:65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</row>
    <row r="287" spans="1:65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</row>
    <row r="288" spans="1:65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</row>
    <row r="289" spans="1:65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</row>
    <row r="290" spans="1:65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</row>
    <row r="291" spans="1:65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</row>
    <row r="292" spans="1:65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</row>
    <row r="293" spans="1:65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</row>
    <row r="294" spans="1:65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</row>
    <row r="295" spans="1:65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</row>
    <row r="296" spans="1:65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</row>
    <row r="297" spans="1:65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</row>
    <row r="298" spans="1:65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</row>
    <row r="299" spans="1:65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</row>
    <row r="300" spans="1:65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</row>
    <row r="301" spans="1:65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</row>
    <row r="302" spans="1:65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</row>
    <row r="303" spans="1:65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</row>
    <row r="304" spans="1:65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</row>
    <row r="305" spans="1:65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</row>
    <row r="306" spans="1:65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</row>
    <row r="307" spans="1:65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</row>
    <row r="308" spans="1:65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</row>
    <row r="309" spans="1:65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</row>
    <row r="310" spans="1:65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</row>
    <row r="311" spans="1:65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</row>
    <row r="312" spans="1:65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</row>
    <row r="313" spans="1:65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</row>
    <row r="314" spans="1:65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</row>
    <row r="315" spans="1:65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</row>
    <row r="316" spans="1:65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</row>
    <row r="317" spans="1:65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</row>
    <row r="318" spans="1:65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</row>
    <row r="319" spans="1:65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</row>
    <row r="320" spans="1:65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</row>
    <row r="321" spans="1:65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</row>
    <row r="322" spans="1:65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</row>
    <row r="323" spans="1:65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</row>
    <row r="324" spans="1:65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</row>
    <row r="325" spans="1:65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</row>
    <row r="326" spans="1:65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</row>
    <row r="327" spans="1:65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</row>
    <row r="328" spans="1:65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</row>
    <row r="329" spans="1:65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</row>
    <row r="330" spans="1:65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</row>
    <row r="331" spans="1:65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</row>
    <row r="332" spans="1:65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</row>
    <row r="333" spans="1:65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</row>
    <row r="334" spans="1:65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</row>
    <row r="335" spans="1:65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</row>
    <row r="336" spans="1:65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</row>
    <row r="337" spans="1:65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</row>
    <row r="338" spans="1:65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</row>
    <row r="339" spans="1:65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</row>
    <row r="340" spans="1:65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</row>
    <row r="341" spans="1:65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</row>
    <row r="342" spans="1:65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</row>
    <row r="343" spans="1:65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</row>
    <row r="344" spans="1:65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</row>
    <row r="345" spans="1:65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</row>
    <row r="346" spans="1:65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</row>
    <row r="347" spans="1:65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</row>
    <row r="348" spans="1:65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</row>
    <row r="349" spans="1:65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</row>
    <row r="350" spans="1:65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</row>
    <row r="351" spans="1:65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</row>
    <row r="352" spans="1:65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</row>
    <row r="353" spans="1:65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</row>
    <row r="354" spans="1:65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</row>
    <row r="355" spans="1:65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</row>
    <row r="356" spans="1:65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</row>
    <row r="357" spans="1:65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</row>
    <row r="358" spans="1:65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</row>
    <row r="359" spans="1:65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</row>
    <row r="360" spans="1:65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</row>
    <row r="361" spans="1:65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</row>
    <row r="362" spans="1:65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</row>
    <row r="363" spans="1:65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</row>
    <row r="364" spans="1:65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</row>
    <row r="365" spans="1:65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</row>
    <row r="366" spans="1:65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</row>
    <row r="367" spans="1:65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</row>
    <row r="368" spans="1:65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</row>
    <row r="369" spans="1:65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</row>
    <row r="370" spans="1:65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</row>
    <row r="371" spans="1:65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</row>
    <row r="372" spans="1:65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</row>
    <row r="373" spans="1:65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</row>
    <row r="374" spans="1:65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</row>
    <row r="375" spans="1:65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</row>
    <row r="376" spans="1:65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</row>
    <row r="377" spans="1:65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</row>
    <row r="378" spans="1:65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</row>
    <row r="379" spans="1:65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</row>
    <row r="380" spans="1:65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</row>
    <row r="381" spans="1:65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</row>
    <row r="382" spans="1:65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</row>
    <row r="383" spans="1:65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</row>
    <row r="384" spans="1:65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</row>
    <row r="385" spans="1:65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</row>
    <row r="386" spans="1:65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</row>
    <row r="387" spans="1:65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</row>
    <row r="388" spans="1:65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</row>
    <row r="389" spans="1:65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</row>
    <row r="390" spans="1:65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</row>
    <row r="391" spans="1:65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</row>
    <row r="392" spans="1:65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</row>
    <row r="393" spans="1:65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</row>
    <row r="394" spans="1:65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</row>
    <row r="395" spans="1:65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</row>
    <row r="396" spans="1:65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</row>
    <row r="397" spans="1:65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</row>
    <row r="398" spans="1:65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</row>
    <row r="399" spans="1:65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</row>
    <row r="400" spans="1:65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</row>
    <row r="401" spans="1:65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</row>
    <row r="402" spans="1:65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</row>
    <row r="403" spans="1:65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</row>
    <row r="404" spans="1:65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</row>
    <row r="405" spans="1:65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</row>
    <row r="406" spans="1:65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</row>
    <row r="407" spans="1:65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</row>
    <row r="408" spans="1:65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</row>
    <row r="409" spans="1:65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</row>
    <row r="410" spans="1:65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</row>
    <row r="411" spans="1:65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</row>
    <row r="412" spans="1:65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</row>
    <row r="413" spans="1:65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</row>
    <row r="414" spans="1:65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</row>
    <row r="415" spans="1:65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</row>
    <row r="416" spans="1:65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</row>
    <row r="417" spans="1:65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</row>
    <row r="418" spans="1:65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</row>
    <row r="419" spans="1:65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</row>
    <row r="420" spans="1:65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</row>
    <row r="421" spans="1:65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</row>
    <row r="422" spans="1:65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</row>
    <row r="423" spans="1:65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</row>
    <row r="424" spans="1:65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</row>
    <row r="425" spans="1:65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</row>
    <row r="426" spans="1:65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</row>
    <row r="427" spans="1:65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</row>
    <row r="428" spans="1:65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</row>
    <row r="429" spans="1:65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</row>
    <row r="430" spans="1:65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</row>
    <row r="431" spans="1:65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</row>
    <row r="432" spans="1:65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</row>
    <row r="433" spans="1:65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</row>
    <row r="434" spans="1:65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</row>
    <row r="435" spans="1:65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</row>
    <row r="436" spans="1:65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</row>
    <row r="437" spans="1:65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</row>
    <row r="438" spans="1:65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</row>
    <row r="439" spans="1:65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</row>
    <row r="440" spans="1:65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</row>
    <row r="441" spans="1:65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</row>
    <row r="442" spans="1:65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</row>
    <row r="443" spans="1:65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</row>
    <row r="444" spans="1:65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</row>
    <row r="445" spans="1:65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</row>
    <row r="446" spans="1:65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</row>
    <row r="447" spans="1:65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</row>
    <row r="448" spans="1:65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</row>
    <row r="449" spans="1:65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</row>
    <row r="450" spans="1:65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</row>
    <row r="451" spans="1:65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</row>
    <row r="452" spans="1:65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</row>
    <row r="453" spans="1:65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</row>
    <row r="454" spans="1:65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</row>
    <row r="455" spans="1:65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</row>
    <row r="456" spans="1:65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</row>
    <row r="457" spans="1:65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</row>
    <row r="458" spans="1:65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</row>
    <row r="459" spans="1:65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</row>
    <row r="460" spans="1:65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</row>
    <row r="461" spans="1:65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</row>
    <row r="462" spans="1:65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</row>
    <row r="463" spans="1:65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</row>
    <row r="464" spans="1:65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</row>
    <row r="465" spans="1:65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</row>
    <row r="466" spans="1:65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</row>
    <row r="467" spans="1:65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</row>
    <row r="468" spans="1:65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</row>
    <row r="469" spans="1:65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</row>
    <row r="470" spans="1:65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</row>
    <row r="471" spans="1:65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</row>
    <row r="472" spans="1:65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</row>
    <row r="473" spans="1:65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</row>
    <row r="474" spans="1:65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</row>
    <row r="475" spans="1:65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</row>
    <row r="476" spans="1:65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</row>
    <row r="477" spans="1:65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</row>
    <row r="478" spans="1:65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</row>
    <row r="479" spans="1:65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</row>
    <row r="480" spans="1:65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</row>
    <row r="481" spans="1:65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</row>
    <row r="482" spans="1:65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</row>
    <row r="483" spans="1:65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</row>
    <row r="484" spans="1:65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</row>
    <row r="485" spans="1:65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</row>
    <row r="486" spans="1:65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</row>
    <row r="487" spans="1:65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</row>
    <row r="488" spans="1:65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</row>
    <row r="489" spans="1:65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</row>
    <row r="490" spans="1:65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</row>
    <row r="491" spans="1:65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</row>
    <row r="492" spans="1:65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</row>
    <row r="493" spans="1:65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</row>
    <row r="494" spans="1:65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</row>
    <row r="495" spans="1:65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</row>
    <row r="496" spans="1:65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</row>
    <row r="497" spans="1:65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</row>
    <row r="498" spans="1:65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</row>
    <row r="499" spans="1:65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</row>
    <row r="500" spans="1:65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</row>
    <row r="501" spans="1:65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</row>
    <row r="502" spans="1:65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</row>
    <row r="503" spans="1:65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</row>
    <row r="504" spans="1:65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</row>
    <row r="505" spans="1:65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</row>
    <row r="506" spans="1:65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</row>
    <row r="507" spans="1:65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</row>
    <row r="508" spans="1:65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</row>
    <row r="509" spans="1:65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</row>
    <row r="510" spans="1:65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</row>
    <row r="511" spans="1:65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</row>
    <row r="512" spans="1:65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</row>
    <row r="513" spans="1:65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</row>
    <row r="514" spans="1:65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</row>
    <row r="515" spans="1:65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</row>
    <row r="516" spans="1:65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</row>
    <row r="517" spans="1:65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</row>
    <row r="518" spans="1:65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</row>
    <row r="519" spans="1:65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</row>
    <row r="520" spans="1:65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</row>
    <row r="521" spans="1:65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</row>
    <row r="522" spans="1:65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</row>
    <row r="523" spans="1:65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</row>
    <row r="524" spans="1:65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</row>
    <row r="525" spans="1:65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</row>
    <row r="526" spans="1:65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</row>
    <row r="527" spans="1:65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</row>
    <row r="528" spans="1:65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</row>
    <row r="529" spans="1:65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</row>
    <row r="530" spans="1:65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</row>
    <row r="531" spans="1:65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</row>
    <row r="532" spans="1:65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</row>
    <row r="533" spans="1:65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</row>
    <row r="534" spans="1:65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</row>
    <row r="535" spans="1:65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</row>
    <row r="536" spans="1:65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</row>
    <row r="537" spans="1:65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</row>
    <row r="538" spans="1:65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</row>
    <row r="539" spans="1:65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</row>
    <row r="540" spans="1:65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</row>
    <row r="541" spans="1:65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</row>
    <row r="542" spans="1:65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</row>
    <row r="543" spans="1:65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</row>
    <row r="544" spans="1:65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</row>
    <row r="545" spans="1:65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</row>
    <row r="546" spans="1:65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</row>
    <row r="547" spans="1:65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</row>
    <row r="548" spans="1:65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</row>
    <row r="549" spans="1:65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</row>
    <row r="550" spans="1:65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</row>
    <row r="551" spans="1:65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</row>
    <row r="552" spans="1:65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</row>
    <row r="553" spans="1:65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</row>
    <row r="554" spans="1:65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</row>
    <row r="555" spans="1:65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</row>
    <row r="556" spans="1:65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</row>
    <row r="557" spans="1:65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</row>
    <row r="558" spans="1:65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</row>
    <row r="559" spans="1:65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</row>
    <row r="560" spans="1:65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</row>
    <row r="561" spans="1:65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</row>
    <row r="562" spans="1:65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</row>
    <row r="563" spans="1:65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</row>
    <row r="564" spans="1:65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</row>
    <row r="565" spans="1:65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</row>
    <row r="566" spans="1:65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</row>
    <row r="567" spans="1:65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</row>
    <row r="568" spans="1:65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</row>
    <row r="569" spans="1:65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</row>
    <row r="570" spans="1:65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</row>
    <row r="571" spans="1:65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</row>
    <row r="572" spans="1:65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</row>
    <row r="573" spans="1:65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</row>
    <row r="574" spans="1:65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</row>
    <row r="575" spans="1:65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</row>
    <row r="576" spans="1:65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</row>
    <row r="577" spans="1:65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</row>
    <row r="578" spans="1:65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</row>
    <row r="579" spans="1:65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</row>
    <row r="580" spans="1:65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</row>
    <row r="581" spans="1:65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</row>
    <row r="582" spans="1:65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</row>
    <row r="583" spans="1:65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</row>
    <row r="584" spans="1:65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</row>
    <row r="585" spans="1:65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</row>
    <row r="586" spans="1:65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</row>
    <row r="587" spans="1:65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</row>
    <row r="588" spans="1:65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</row>
    <row r="589" spans="1:65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</row>
    <row r="590" spans="1:65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</row>
    <row r="591" spans="1:65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</row>
    <row r="592" spans="1:65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</row>
    <row r="593" spans="1:65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</row>
    <row r="594" spans="1:65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</row>
    <row r="595" spans="1:65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</row>
    <row r="596" spans="1:65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</row>
    <row r="597" spans="1:65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</row>
    <row r="598" spans="1:65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</row>
    <row r="599" spans="1:65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</row>
    <row r="600" spans="1:65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</row>
    <row r="601" spans="1:65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</row>
    <row r="602" spans="1:65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</row>
    <row r="603" spans="1:65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</row>
    <row r="604" spans="1:65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</row>
    <row r="605" spans="1:65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</row>
    <row r="606" spans="1:65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</row>
    <row r="607" spans="1:65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</row>
    <row r="608" spans="1:65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</row>
    <row r="609" spans="1:65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</row>
    <row r="610" spans="1:65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</row>
    <row r="611" spans="1:65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</row>
    <row r="612" spans="1:65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</row>
    <row r="613" spans="1:65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</row>
    <row r="614" spans="1:65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</row>
    <row r="615" spans="1:65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</row>
    <row r="616" spans="1:65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</row>
    <row r="617" spans="1:65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</row>
    <row r="618" spans="1:65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</row>
    <row r="619" spans="1:65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</row>
    <row r="620" spans="1:65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</row>
    <row r="621" spans="1:65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</row>
    <row r="622" spans="1:65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</row>
    <row r="623" spans="1:65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</row>
    <row r="624" spans="1:65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</row>
    <row r="625" spans="1:65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</row>
    <row r="626" spans="1:65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</row>
    <row r="627" spans="1:65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</row>
    <row r="628" spans="1:65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</row>
    <row r="629" spans="1:65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</row>
    <row r="630" spans="1:65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</row>
    <row r="631" spans="1:65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</row>
    <row r="632" spans="1:65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</row>
    <row r="633" spans="1:65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</row>
    <row r="634" spans="1:65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</row>
    <row r="635" spans="1:65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</row>
    <row r="636" spans="1:65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</row>
    <row r="637" spans="1:65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</row>
    <row r="638" spans="1:65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</row>
    <row r="639" spans="1:65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</row>
    <row r="640" spans="1:65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</row>
    <row r="641" spans="1:65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</row>
    <row r="642" spans="1:65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</row>
    <row r="643" spans="1:65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</row>
    <row r="644" spans="1:65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</row>
    <row r="645" spans="1:65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</row>
    <row r="646" spans="1:65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</row>
    <row r="647" spans="1:65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</row>
    <row r="648" spans="1:65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</row>
    <row r="649" spans="1:65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</row>
    <row r="650" spans="1:65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</row>
    <row r="651" spans="1:65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</row>
    <row r="652" spans="1:65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</row>
    <row r="653" spans="1:65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</row>
    <row r="654" spans="1:65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</row>
    <row r="655" spans="1:65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</row>
    <row r="656" spans="1:65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</row>
    <row r="657" spans="1:65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</row>
    <row r="658" spans="1:65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</row>
    <row r="659" spans="1:65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</row>
    <row r="660" spans="1:65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</row>
    <row r="661" spans="1:65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</row>
    <row r="662" spans="1:65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</row>
    <row r="663" spans="1:65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</row>
    <row r="664" spans="1:65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</row>
    <row r="665" spans="1:65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</row>
    <row r="666" spans="1:65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</row>
    <row r="667" spans="1:65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</row>
    <row r="668" spans="1:65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</row>
    <row r="669" spans="1:65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</row>
    <row r="670" spans="1:65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</row>
    <row r="671" spans="1:65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</row>
    <row r="672" spans="1:65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</row>
    <row r="673" spans="1:65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</row>
    <row r="674" spans="1:65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</row>
    <row r="675" spans="1:65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</row>
    <row r="676" spans="1:65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</row>
    <row r="677" spans="1:65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</row>
    <row r="678" spans="1:65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</row>
    <row r="679" spans="1:65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</row>
    <row r="680" spans="1:65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</row>
    <row r="681" spans="1:65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</row>
    <row r="682" spans="1:65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</row>
    <row r="683" spans="1:65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</row>
    <row r="684" spans="1:65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</row>
    <row r="685" spans="1:65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</row>
    <row r="686" spans="1:65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</row>
    <row r="687" spans="1:65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</row>
    <row r="688" spans="1:65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</row>
    <row r="689" spans="1:65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</row>
    <row r="690" spans="1:65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</row>
    <row r="691" spans="1:65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</row>
    <row r="692" spans="1:65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</row>
    <row r="693" spans="1:65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</row>
    <row r="694" spans="1:65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</row>
    <row r="695" spans="1:65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</row>
    <row r="696" spans="1:65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</row>
    <row r="697" spans="1:65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</row>
    <row r="698" spans="1:65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</row>
    <row r="699" spans="1:65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</row>
    <row r="700" spans="1:65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</row>
    <row r="701" spans="1:65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</row>
    <row r="702" spans="1:65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</row>
    <row r="703" spans="1:65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</row>
    <row r="704" spans="1:65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</row>
    <row r="705" spans="1:65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</row>
    <row r="706" spans="1:65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</row>
    <row r="707" spans="1:65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</row>
    <row r="708" spans="1:65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</row>
    <row r="709" spans="1:65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</row>
    <row r="710" spans="1:65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</row>
    <row r="711" spans="1:65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</row>
    <row r="712" spans="1:65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</row>
    <row r="713" spans="1:65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</row>
    <row r="714" spans="1:65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</row>
    <row r="715" spans="1:65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</row>
    <row r="716" spans="1:65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</row>
    <row r="717" spans="1:65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</row>
    <row r="718" spans="1:65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</row>
    <row r="719" spans="1:65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</row>
    <row r="720" spans="1:65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</row>
    <row r="721" spans="1:65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</row>
    <row r="722" spans="1:65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</row>
    <row r="723" spans="1:65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</row>
    <row r="724" spans="1:65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</row>
    <row r="725" spans="1:65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</row>
    <row r="726" spans="1:65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</row>
    <row r="727" spans="1:65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</row>
    <row r="728" spans="1:65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</row>
    <row r="729" spans="1:65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</row>
    <row r="730" spans="1:65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</row>
    <row r="731" spans="1:65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</row>
    <row r="732" spans="1:65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</row>
    <row r="733" spans="1:65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</row>
    <row r="734" spans="1:65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</row>
    <row r="735" spans="1:65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</row>
    <row r="736" spans="1:65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</row>
    <row r="737" spans="1:65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</row>
    <row r="738" spans="1:65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</row>
    <row r="739" spans="1:65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</row>
    <row r="740" spans="1:65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</row>
    <row r="741" spans="1:65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</row>
    <row r="742" spans="1:65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</row>
    <row r="743" spans="1:65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</row>
    <row r="744" spans="1:65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</row>
    <row r="745" spans="1:65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</row>
    <row r="746" spans="1:65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</row>
    <row r="747" spans="1:65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</row>
    <row r="748" spans="1:65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</row>
    <row r="749" spans="1:65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</row>
    <row r="750" spans="1:65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</row>
    <row r="751" spans="1:65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</row>
    <row r="752" spans="1:65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</row>
    <row r="753" spans="1:65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</row>
    <row r="754" spans="1:65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</row>
    <row r="755" spans="1:65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</row>
    <row r="756" spans="1:65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</row>
    <row r="757" spans="1:65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</row>
    <row r="758" spans="1:65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</row>
    <row r="759" spans="1:65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</row>
    <row r="760" spans="1:65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</row>
    <row r="761" spans="1:65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</row>
    <row r="762" spans="1:65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</row>
    <row r="763" spans="1:65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</row>
    <row r="764" spans="1:65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</row>
    <row r="765" spans="1:65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</row>
    <row r="766" spans="1:65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</row>
    <row r="767" spans="1:65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</row>
    <row r="768" spans="1:65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</row>
    <row r="769" spans="1:65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</row>
    <row r="770" spans="1:65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</row>
    <row r="771" spans="1:65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</row>
    <row r="772" spans="1:65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</row>
    <row r="773" spans="1:65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</row>
    <row r="774" spans="1:65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</row>
    <row r="775" spans="1:65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</row>
    <row r="776" spans="1:65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</row>
    <row r="777" spans="1:65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</row>
    <row r="778" spans="1:65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</row>
    <row r="779" spans="1:65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</row>
    <row r="780" spans="1:65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</row>
    <row r="781" spans="1:65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</row>
    <row r="782" spans="1:65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</row>
    <row r="783" spans="1:65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</row>
    <row r="784" spans="1:65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</row>
    <row r="785" spans="1:65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</row>
    <row r="786" spans="1:65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</row>
    <row r="787" spans="1:65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</row>
    <row r="788" spans="1:65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</row>
    <row r="789" spans="1:65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</row>
    <row r="790" spans="1:65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</row>
    <row r="791" spans="1:65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</row>
    <row r="792" spans="1:65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</row>
    <row r="793" spans="1:65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</row>
    <row r="794" spans="1:65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</row>
    <row r="795" spans="1:65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</row>
    <row r="796" spans="1:65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</row>
    <row r="797" spans="1:65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</row>
    <row r="798" spans="1:65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</row>
    <row r="799" spans="1:65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</row>
    <row r="800" spans="1:65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</row>
    <row r="801" spans="1:65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</row>
    <row r="802" spans="1:65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</row>
    <row r="803" spans="1:65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</row>
    <row r="804" spans="1:65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</row>
    <row r="805" spans="1:65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</row>
    <row r="806" spans="1:65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</row>
    <row r="807" spans="1:65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</row>
    <row r="808" spans="1:65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</row>
    <row r="809" spans="1:65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</row>
    <row r="810" spans="1:65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</row>
    <row r="811" spans="1:65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</row>
    <row r="812" spans="1:65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</row>
    <row r="813" spans="1:65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</row>
    <row r="814" spans="1:65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</row>
    <row r="815" spans="1:65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</row>
    <row r="816" spans="1:65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</row>
    <row r="817" spans="1:65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</row>
    <row r="818" spans="1:65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</row>
    <row r="819" spans="1:65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</row>
    <row r="820" spans="1:65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</row>
    <row r="821" spans="1:65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</row>
    <row r="822" spans="1:65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</row>
    <row r="823" spans="1:65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</row>
    <row r="824" spans="1:65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</row>
    <row r="825" spans="1:65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</row>
    <row r="826" spans="1:65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</row>
    <row r="827" spans="1:65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</row>
    <row r="828" spans="1:65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</row>
    <row r="829" spans="1:65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</row>
    <row r="830" spans="1:65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</row>
    <row r="831" spans="1:65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</row>
    <row r="832" spans="1:65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</row>
    <row r="833" spans="1:65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</row>
    <row r="834" spans="1:65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</row>
    <row r="835" spans="1:65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</row>
    <row r="836" spans="1:65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</row>
    <row r="837" spans="1:65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</row>
    <row r="838" spans="1:65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</row>
    <row r="839" spans="1:65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</row>
    <row r="840" spans="1:65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</row>
    <row r="841" spans="1:65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</row>
    <row r="842" spans="1:65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</row>
    <row r="843" spans="1:65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</row>
    <row r="844" spans="1:65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</row>
    <row r="845" spans="1:65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</row>
    <row r="846" spans="1:65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</row>
    <row r="847" spans="1:65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</row>
    <row r="848" spans="1:65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</row>
    <row r="849" spans="1:65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</row>
    <row r="850" spans="1:65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</row>
    <row r="851" spans="1:65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</row>
    <row r="852" spans="1:65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</row>
    <row r="853" spans="1:65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</row>
    <row r="854" spans="1:65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</row>
    <row r="855" spans="1:65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</row>
    <row r="856" spans="1:65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</row>
    <row r="857" spans="1:65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</row>
    <row r="858" spans="1:65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</row>
    <row r="859" spans="1:65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</row>
    <row r="860" spans="1:65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</row>
    <row r="861" spans="1:65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</row>
    <row r="862" spans="1:65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</row>
    <row r="863" spans="1:65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</row>
    <row r="864" spans="1:65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</row>
    <row r="865" spans="1:65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</row>
    <row r="866" spans="1:65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</row>
    <row r="867" spans="1:65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</row>
    <row r="868" spans="1:65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</row>
    <row r="869" spans="1:65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</row>
    <row r="870" spans="1:65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</row>
    <row r="871" spans="1:65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</row>
    <row r="872" spans="1:65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</row>
    <row r="873" spans="1:65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</row>
    <row r="874" spans="1:65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</row>
    <row r="875" spans="1:65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</row>
    <row r="876" spans="1:65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</row>
    <row r="877" spans="1:65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</row>
    <row r="878" spans="1:65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</row>
    <row r="879" spans="1:65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</row>
    <row r="880" spans="1:65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</row>
    <row r="881" spans="1:65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</row>
    <row r="882" spans="1:65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</row>
    <row r="883" spans="1:65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</row>
    <row r="884" spans="1:65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</row>
    <row r="885" spans="1:65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</row>
    <row r="886" spans="1:65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</row>
    <row r="887" spans="1:65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</row>
    <row r="888" spans="1:65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</row>
    <row r="889" spans="1:65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</row>
    <row r="890" spans="1:65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</row>
    <row r="891" spans="1:65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</row>
    <row r="892" spans="1:65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</row>
    <row r="893" spans="1:65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</row>
    <row r="894" spans="1:65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</row>
    <row r="895" spans="1:65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</row>
    <row r="896" spans="1:65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</row>
    <row r="897" spans="1:65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</row>
    <row r="898" spans="1:65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</row>
    <row r="899" spans="1:65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</row>
    <row r="900" spans="1:65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</row>
    <row r="901" spans="1:65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</row>
    <row r="902" spans="1:65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</row>
    <row r="903" spans="1:65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</row>
    <row r="904" spans="1:65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</row>
    <row r="905" spans="1:65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</row>
    <row r="906" spans="1:65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</row>
    <row r="907" spans="1:65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</row>
    <row r="908" spans="1:65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</row>
    <row r="909" spans="1:65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</row>
    <row r="910" spans="1:65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</row>
    <row r="911" spans="1:65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</row>
    <row r="912" spans="1:65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</row>
    <row r="913" spans="1:65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</row>
    <row r="914" spans="1:65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</row>
    <row r="915" spans="1:65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</row>
    <row r="916" spans="1:65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</row>
    <row r="917" spans="1:65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</row>
    <row r="918" spans="1:65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</row>
    <row r="919" spans="1:65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</row>
    <row r="920" spans="1:65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</row>
    <row r="921" spans="1:65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</row>
    <row r="922" spans="1:65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</row>
    <row r="923" spans="1:65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</row>
    <row r="924" spans="1:65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</row>
    <row r="925" spans="1:65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</row>
    <row r="926" spans="1:65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</row>
    <row r="927" spans="1:65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</row>
    <row r="928" spans="1:65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</row>
    <row r="929" spans="1:65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</row>
    <row r="930" spans="1:65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</row>
    <row r="931" spans="1:65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</row>
    <row r="932" spans="1:65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</row>
    <row r="933" spans="1:65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</row>
    <row r="934" spans="1:65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</row>
    <row r="935" spans="1:65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</row>
    <row r="936" spans="1:65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</row>
    <row r="937" spans="1:65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</row>
    <row r="938" spans="1:65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</row>
    <row r="939" spans="1:65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</row>
    <row r="940" spans="1:65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</row>
    <row r="941" spans="1:65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</row>
    <row r="942" spans="1:65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</row>
    <row r="943" spans="1:65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</row>
    <row r="944" spans="1:65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</row>
    <row r="945" spans="1:65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</row>
    <row r="946" spans="1:65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</row>
    <row r="947" spans="1:65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</row>
    <row r="948" spans="1:65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</row>
    <row r="949" spans="1:65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</row>
    <row r="950" spans="1:65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</row>
    <row r="951" spans="1:65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</row>
    <row r="952" spans="1:65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</row>
    <row r="953" spans="1:65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</row>
    <row r="954" spans="1:65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</row>
    <row r="955" spans="1:65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</row>
    <row r="956" spans="1:65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</row>
    <row r="957" spans="1:65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</row>
    <row r="958" spans="1:65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</row>
    <row r="959" spans="1:65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</row>
  </sheetData>
  <mergeCells count="9">
    <mergeCell ref="AZ2:BF2"/>
    <mergeCell ref="BG2:BM2"/>
    <mergeCell ref="B2:C3"/>
    <mergeCell ref="J2:P2"/>
    <mergeCell ref="Q2:W2"/>
    <mergeCell ref="X2:AD2"/>
    <mergeCell ref="AE2:AK2"/>
    <mergeCell ref="AL2:AR2"/>
    <mergeCell ref="AS2:AY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AC1006"/>
  <sheetViews>
    <sheetView tabSelected="1" workbookViewId="0"/>
  </sheetViews>
  <sheetFormatPr defaultColWidth="12.5703125" defaultRowHeight="15.75" customHeight="1" x14ac:dyDescent="0.2"/>
  <cols>
    <col min="1" max="1" width="3" customWidth="1"/>
    <col min="2" max="2" width="18.85546875" customWidth="1"/>
  </cols>
  <sheetData>
    <row r="1" spans="1:29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</row>
    <row r="2" spans="1:29" ht="15.75" customHeight="1" x14ac:dyDescent="0.25">
      <c r="A2" s="37"/>
      <c r="B2" s="63" t="s">
        <v>182</v>
      </c>
      <c r="C2" s="64"/>
      <c r="D2" s="64"/>
      <c r="E2" s="64"/>
      <c r="F2" s="64"/>
      <c r="G2" s="57"/>
      <c r="H2" s="37"/>
      <c r="I2" s="38" t="s">
        <v>13</v>
      </c>
      <c r="J2" s="38" t="s">
        <v>183</v>
      </c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</row>
    <row r="3" spans="1:29" ht="15.75" customHeight="1" x14ac:dyDescent="0.25">
      <c r="A3" s="37"/>
      <c r="B3" s="58"/>
      <c r="C3" s="65"/>
      <c r="D3" s="65"/>
      <c r="E3" s="65"/>
      <c r="F3" s="65"/>
      <c r="G3" s="59"/>
      <c r="H3" s="37"/>
      <c r="I3" s="39" t="s">
        <v>25</v>
      </c>
      <c r="J3" s="40" t="s">
        <v>184</v>
      </c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</row>
    <row r="4" spans="1:29" ht="15.75" customHeight="1" x14ac:dyDescent="0.25">
      <c r="A4" s="37"/>
      <c r="B4" s="41" t="s">
        <v>10</v>
      </c>
      <c r="C4" s="41" t="s">
        <v>11</v>
      </c>
      <c r="D4" s="41" t="s">
        <v>12</v>
      </c>
      <c r="E4" s="41" t="s">
        <v>13</v>
      </c>
      <c r="F4" s="41" t="s">
        <v>14</v>
      </c>
      <c r="G4" s="41" t="s">
        <v>96</v>
      </c>
      <c r="H4" s="37"/>
      <c r="I4" s="39" t="s">
        <v>29</v>
      </c>
      <c r="J4" s="40" t="s">
        <v>185</v>
      </c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</row>
    <row r="5" spans="1:29" ht="15.75" customHeight="1" x14ac:dyDescent="0.25">
      <c r="A5" s="37"/>
      <c r="B5" s="42" t="s">
        <v>78</v>
      </c>
      <c r="C5" s="42" t="s">
        <v>99</v>
      </c>
      <c r="D5" s="42">
        <v>50593</v>
      </c>
      <c r="E5" s="43" t="s">
        <v>25</v>
      </c>
      <c r="F5" s="42" t="s">
        <v>26</v>
      </c>
      <c r="G5" s="44">
        <v>0.98339886563570778</v>
      </c>
      <c r="H5" s="37"/>
      <c r="I5" s="39" t="s">
        <v>44</v>
      </c>
      <c r="J5" s="40" t="s">
        <v>186</v>
      </c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</row>
    <row r="6" spans="1:29" ht="15.75" customHeight="1" x14ac:dyDescent="0.25">
      <c r="A6" s="37"/>
      <c r="B6" s="43" t="s">
        <v>100</v>
      </c>
      <c r="C6" s="43" t="s">
        <v>101</v>
      </c>
      <c r="D6" s="43">
        <v>60616</v>
      </c>
      <c r="E6" s="43" t="s">
        <v>25</v>
      </c>
      <c r="F6" s="43" t="s">
        <v>26</v>
      </c>
      <c r="G6" s="44">
        <v>0.97478632478632488</v>
      </c>
      <c r="H6" s="37"/>
      <c r="I6" s="39" t="s">
        <v>54</v>
      </c>
      <c r="J6" s="40" t="s">
        <v>187</v>
      </c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</row>
    <row r="7" spans="1:29" x14ac:dyDescent="0.2">
      <c r="A7" s="37"/>
      <c r="B7" s="42" t="s">
        <v>102</v>
      </c>
      <c r="C7" s="42" t="s">
        <v>103</v>
      </c>
      <c r="D7" s="42">
        <v>50062</v>
      </c>
      <c r="E7" s="43" t="s">
        <v>25</v>
      </c>
      <c r="F7" s="42" t="s">
        <v>75</v>
      </c>
      <c r="G7" s="44">
        <v>0.95146808896808899</v>
      </c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</row>
    <row r="8" spans="1:29" x14ac:dyDescent="0.2">
      <c r="A8" s="37"/>
      <c r="B8" s="42" t="s">
        <v>104</v>
      </c>
      <c r="C8" s="42" t="s">
        <v>105</v>
      </c>
      <c r="D8" s="42">
        <v>50563</v>
      </c>
      <c r="E8" s="43" t="s">
        <v>25</v>
      </c>
      <c r="F8" s="42" t="s">
        <v>26</v>
      </c>
      <c r="G8" s="44">
        <v>0.94990070389051706</v>
      </c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</row>
    <row r="9" spans="1:29" x14ac:dyDescent="0.2">
      <c r="A9" s="37"/>
      <c r="B9" s="42" t="s">
        <v>106</v>
      </c>
      <c r="C9" s="42" t="s">
        <v>31</v>
      </c>
      <c r="D9" s="42">
        <v>60584</v>
      </c>
      <c r="E9" s="43" t="s">
        <v>25</v>
      </c>
      <c r="F9" s="42" t="s">
        <v>107</v>
      </c>
      <c r="G9" s="44">
        <v>0.92307692307692313</v>
      </c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</row>
    <row r="10" spans="1:29" x14ac:dyDescent="0.2">
      <c r="A10" s="37"/>
      <c r="B10" s="42" t="s">
        <v>108</v>
      </c>
      <c r="C10" s="42" t="s">
        <v>24</v>
      </c>
      <c r="D10" s="42">
        <v>50057</v>
      </c>
      <c r="E10" s="43" t="s">
        <v>25</v>
      </c>
      <c r="F10" s="42" t="s">
        <v>75</v>
      </c>
      <c r="G10" s="44">
        <v>0.91556224588345325</v>
      </c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</row>
    <row r="11" spans="1:29" x14ac:dyDescent="0.2">
      <c r="A11" s="37"/>
      <c r="B11" s="42" t="s">
        <v>109</v>
      </c>
      <c r="C11" s="42" t="s">
        <v>40</v>
      </c>
      <c r="D11" s="42">
        <v>51055</v>
      </c>
      <c r="E11" s="43" t="s">
        <v>25</v>
      </c>
      <c r="F11" s="42" t="s">
        <v>36</v>
      </c>
      <c r="G11" s="44">
        <v>0.90875895415369101</v>
      </c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</row>
    <row r="12" spans="1:29" x14ac:dyDescent="0.2">
      <c r="A12" s="37"/>
      <c r="B12" s="43" t="s">
        <v>110</v>
      </c>
      <c r="C12" s="43" t="s">
        <v>111</v>
      </c>
      <c r="D12" s="43">
        <v>51165</v>
      </c>
      <c r="E12" s="43" t="s">
        <v>25</v>
      </c>
      <c r="F12" s="43" t="s">
        <v>26</v>
      </c>
      <c r="G12" s="44">
        <v>0.89874777470471268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</row>
    <row r="13" spans="1:29" x14ac:dyDescent="0.2">
      <c r="A13" s="37"/>
      <c r="B13" s="43" t="s">
        <v>112</v>
      </c>
      <c r="C13" s="43" t="s">
        <v>113</v>
      </c>
      <c r="D13" s="43">
        <v>60006</v>
      </c>
      <c r="E13" s="43" t="s">
        <v>25</v>
      </c>
      <c r="F13" s="43" t="s">
        <v>114</v>
      </c>
      <c r="G13" s="44">
        <v>0.89743589743589747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</row>
    <row r="14" spans="1:29" x14ac:dyDescent="0.2">
      <c r="A14" s="37"/>
      <c r="B14" s="43" t="s">
        <v>115</v>
      </c>
      <c r="C14" s="43" t="s">
        <v>116</v>
      </c>
      <c r="D14" s="43">
        <v>51097</v>
      </c>
      <c r="E14" s="43" t="s">
        <v>25</v>
      </c>
      <c r="F14" s="43" t="s">
        <v>26</v>
      </c>
      <c r="G14" s="44">
        <v>0.88607017677226407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</row>
    <row r="15" spans="1:29" x14ac:dyDescent="0.2">
      <c r="A15" s="37"/>
      <c r="B15" s="45" t="s">
        <v>117</v>
      </c>
      <c r="C15" s="45" t="s">
        <v>51</v>
      </c>
      <c r="D15" s="45">
        <v>50023</v>
      </c>
      <c r="E15" s="45" t="s">
        <v>25</v>
      </c>
      <c r="F15" s="45" t="s">
        <v>41</v>
      </c>
      <c r="G15" s="44">
        <v>0.87709999999999999</v>
      </c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</row>
    <row r="16" spans="1:29" x14ac:dyDescent="0.2">
      <c r="A16" s="37"/>
      <c r="B16" s="43" t="s">
        <v>110</v>
      </c>
      <c r="C16" s="43" t="s">
        <v>118</v>
      </c>
      <c r="D16" s="43">
        <v>60532</v>
      </c>
      <c r="E16" s="43" t="s">
        <v>25</v>
      </c>
      <c r="F16" s="43" t="s">
        <v>26</v>
      </c>
      <c r="G16" s="44">
        <v>0.87628842930700512</v>
      </c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</row>
    <row r="17" spans="1:29" x14ac:dyDescent="0.2">
      <c r="A17" s="37"/>
      <c r="B17" s="46"/>
      <c r="C17" s="47"/>
      <c r="D17" s="47"/>
      <c r="E17" s="47"/>
      <c r="F17" s="47"/>
      <c r="G17" s="48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</row>
    <row r="18" spans="1:29" x14ac:dyDescent="0.2">
      <c r="A18" s="37"/>
      <c r="B18" s="49" t="s">
        <v>119</v>
      </c>
      <c r="C18" s="49" t="s">
        <v>120</v>
      </c>
      <c r="D18" s="49">
        <v>51089</v>
      </c>
      <c r="E18" s="49" t="s">
        <v>29</v>
      </c>
      <c r="F18" s="49" t="s">
        <v>75</v>
      </c>
      <c r="G18" s="50">
        <v>0.86842618892703793</v>
      </c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</row>
    <row r="19" spans="1:29" x14ac:dyDescent="0.2">
      <c r="A19" s="37"/>
      <c r="B19" s="49" t="s">
        <v>23</v>
      </c>
      <c r="C19" s="49" t="s">
        <v>24</v>
      </c>
      <c r="D19" s="49">
        <v>50134</v>
      </c>
      <c r="E19" s="49" t="s">
        <v>29</v>
      </c>
      <c r="F19" s="49" t="s">
        <v>26</v>
      </c>
      <c r="G19" s="50">
        <v>0.86677747779128478</v>
      </c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</row>
    <row r="20" spans="1:29" x14ac:dyDescent="0.2">
      <c r="A20" s="37"/>
      <c r="B20" s="49" t="s">
        <v>37</v>
      </c>
      <c r="C20" s="49" t="s">
        <v>38</v>
      </c>
      <c r="D20" s="49">
        <v>50911</v>
      </c>
      <c r="E20" s="49" t="s">
        <v>29</v>
      </c>
      <c r="F20" s="49" t="s">
        <v>36</v>
      </c>
      <c r="G20" s="50">
        <v>0.8572173966910811</v>
      </c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</row>
    <row r="21" spans="1:29" x14ac:dyDescent="0.2">
      <c r="A21" s="37"/>
      <c r="B21" s="49" t="s">
        <v>121</v>
      </c>
      <c r="C21" s="49" t="s">
        <v>105</v>
      </c>
      <c r="D21" s="49">
        <v>51168</v>
      </c>
      <c r="E21" s="49" t="s">
        <v>29</v>
      </c>
      <c r="F21" s="49" t="s">
        <v>26</v>
      </c>
      <c r="G21" s="50">
        <v>0.8571428571428571</v>
      </c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</row>
    <row r="22" spans="1:29" x14ac:dyDescent="0.2">
      <c r="A22" s="37"/>
      <c r="B22" s="49" t="s">
        <v>122</v>
      </c>
      <c r="C22" s="49" t="s">
        <v>123</v>
      </c>
      <c r="D22" s="49">
        <v>51095</v>
      </c>
      <c r="E22" s="49" t="s">
        <v>29</v>
      </c>
      <c r="F22" s="49" t="s">
        <v>26</v>
      </c>
      <c r="G22" s="50">
        <v>0.85455938256297792</v>
      </c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</row>
    <row r="23" spans="1:29" x14ac:dyDescent="0.2">
      <c r="A23" s="37"/>
      <c r="B23" s="49" t="s">
        <v>35</v>
      </c>
      <c r="C23" s="49" t="s">
        <v>31</v>
      </c>
      <c r="D23" s="49">
        <v>50860</v>
      </c>
      <c r="E23" s="49" t="s">
        <v>29</v>
      </c>
      <c r="F23" s="49" t="s">
        <v>36</v>
      </c>
      <c r="G23" s="50">
        <v>0.84384384384384381</v>
      </c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</row>
    <row r="24" spans="1:29" x14ac:dyDescent="0.2">
      <c r="A24" s="37"/>
      <c r="B24" s="49" t="s">
        <v>124</v>
      </c>
      <c r="C24" s="49" t="s">
        <v>125</v>
      </c>
      <c r="D24" s="49">
        <v>50641</v>
      </c>
      <c r="E24" s="49" t="s">
        <v>29</v>
      </c>
      <c r="F24" s="49" t="s">
        <v>26</v>
      </c>
      <c r="G24" s="50">
        <v>0.83393257510904562</v>
      </c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</row>
    <row r="25" spans="1:29" x14ac:dyDescent="0.2">
      <c r="A25" s="37"/>
      <c r="B25" s="49" t="s">
        <v>30</v>
      </c>
      <c r="C25" s="49" t="s">
        <v>31</v>
      </c>
      <c r="D25" s="49">
        <v>51170</v>
      </c>
      <c r="E25" s="49" t="s">
        <v>29</v>
      </c>
      <c r="F25" s="49" t="s">
        <v>32</v>
      </c>
      <c r="G25" s="50">
        <v>0.82660830452388911</v>
      </c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</row>
    <row r="26" spans="1:29" x14ac:dyDescent="0.2">
      <c r="A26" s="37"/>
      <c r="B26" s="49" t="s">
        <v>33</v>
      </c>
      <c r="C26" s="49" t="s">
        <v>34</v>
      </c>
      <c r="D26" s="49">
        <v>50863</v>
      </c>
      <c r="E26" s="49" t="s">
        <v>29</v>
      </c>
      <c r="F26" s="49" t="s">
        <v>32</v>
      </c>
      <c r="G26" s="50">
        <v>0.81684560838847753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</row>
    <row r="27" spans="1:29" x14ac:dyDescent="0.2">
      <c r="A27" s="37"/>
      <c r="B27" s="49" t="s">
        <v>27</v>
      </c>
      <c r="C27" s="49" t="s">
        <v>28</v>
      </c>
      <c r="D27" s="49">
        <v>51188</v>
      </c>
      <c r="E27" s="49" t="s">
        <v>29</v>
      </c>
      <c r="F27" s="49" t="s">
        <v>26</v>
      </c>
      <c r="G27" s="50">
        <v>0.80184142576969408</v>
      </c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</row>
    <row r="28" spans="1:29" x14ac:dyDescent="0.2">
      <c r="A28" s="37"/>
      <c r="B28" s="49" t="s">
        <v>126</v>
      </c>
      <c r="C28" s="49" t="s">
        <v>127</v>
      </c>
      <c r="D28" s="49">
        <v>50661</v>
      </c>
      <c r="E28" s="49" t="s">
        <v>29</v>
      </c>
      <c r="F28" s="49" t="s">
        <v>75</v>
      </c>
      <c r="G28" s="50">
        <v>0.79628782628782624</v>
      </c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</row>
    <row r="29" spans="1:29" x14ac:dyDescent="0.2">
      <c r="A29" s="37"/>
      <c r="B29" s="49" t="s">
        <v>128</v>
      </c>
      <c r="C29" s="49" t="s">
        <v>129</v>
      </c>
      <c r="D29" s="49">
        <v>51178</v>
      </c>
      <c r="E29" s="49" t="s">
        <v>29</v>
      </c>
      <c r="F29" s="49" t="s">
        <v>26</v>
      </c>
      <c r="G29" s="50">
        <v>0.79451000774530189</v>
      </c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</row>
    <row r="30" spans="1:29" x14ac:dyDescent="0.2">
      <c r="A30" s="37"/>
      <c r="B30" s="49" t="s">
        <v>130</v>
      </c>
      <c r="C30" s="49" t="s">
        <v>131</v>
      </c>
      <c r="D30" s="49">
        <v>21887</v>
      </c>
      <c r="E30" s="49" t="s">
        <v>29</v>
      </c>
      <c r="F30" s="49" t="s">
        <v>132</v>
      </c>
      <c r="G30" s="50">
        <v>0.79411764705882348</v>
      </c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</row>
    <row r="31" spans="1:29" x14ac:dyDescent="0.2">
      <c r="A31" s="37"/>
      <c r="B31" s="49" t="s">
        <v>133</v>
      </c>
      <c r="C31" s="49" t="s">
        <v>134</v>
      </c>
      <c r="D31" s="49">
        <v>50988</v>
      </c>
      <c r="E31" s="49" t="s">
        <v>29</v>
      </c>
      <c r="F31" s="49" t="s">
        <v>32</v>
      </c>
      <c r="G31" s="50">
        <v>0.78506787330316752</v>
      </c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</row>
    <row r="32" spans="1:29" x14ac:dyDescent="0.2">
      <c r="A32" s="37"/>
      <c r="B32" s="49" t="s">
        <v>135</v>
      </c>
      <c r="C32" s="49" t="s">
        <v>121</v>
      </c>
      <c r="D32" s="49">
        <v>50830</v>
      </c>
      <c r="E32" s="49" t="s">
        <v>29</v>
      </c>
      <c r="F32" s="49" t="s">
        <v>32</v>
      </c>
      <c r="G32" s="50">
        <v>0.78427819913888019</v>
      </c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</row>
    <row r="33" spans="1:29" x14ac:dyDescent="0.2">
      <c r="A33" s="37"/>
      <c r="B33" s="46"/>
      <c r="C33" s="47"/>
      <c r="D33" s="47"/>
      <c r="E33" s="47"/>
      <c r="F33" s="47"/>
      <c r="G33" s="48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</row>
    <row r="34" spans="1:29" x14ac:dyDescent="0.2">
      <c r="A34" s="37"/>
      <c r="B34" s="43" t="s">
        <v>136</v>
      </c>
      <c r="C34" s="43" t="s">
        <v>74</v>
      </c>
      <c r="D34" s="43">
        <v>50919</v>
      </c>
      <c r="E34" s="43" t="s">
        <v>44</v>
      </c>
      <c r="F34" s="43" t="s">
        <v>75</v>
      </c>
      <c r="G34" s="44">
        <v>0.7758945886929508</v>
      </c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</row>
    <row r="35" spans="1:29" x14ac:dyDescent="0.2">
      <c r="A35" s="37"/>
      <c r="B35" s="43" t="s">
        <v>137</v>
      </c>
      <c r="C35" s="43" t="s">
        <v>138</v>
      </c>
      <c r="D35" s="43">
        <v>50094</v>
      </c>
      <c r="E35" s="43" t="s">
        <v>44</v>
      </c>
      <c r="F35" s="43" t="s">
        <v>32</v>
      </c>
      <c r="G35" s="44">
        <v>0.77243589743589736</v>
      </c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</row>
    <row r="36" spans="1:29" x14ac:dyDescent="0.2">
      <c r="A36" s="37"/>
      <c r="B36" s="43" t="s">
        <v>45</v>
      </c>
      <c r="C36" s="43" t="s">
        <v>34</v>
      </c>
      <c r="D36" s="43">
        <v>50529</v>
      </c>
      <c r="E36" s="43" t="s">
        <v>44</v>
      </c>
      <c r="F36" s="43" t="s">
        <v>26</v>
      </c>
      <c r="G36" s="44">
        <v>0.76818688532398216</v>
      </c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</row>
    <row r="37" spans="1:29" x14ac:dyDescent="0.2">
      <c r="A37" s="37"/>
      <c r="B37" s="43" t="s">
        <v>139</v>
      </c>
      <c r="C37" s="43" t="s">
        <v>140</v>
      </c>
      <c r="D37" s="43">
        <v>51130</v>
      </c>
      <c r="E37" s="43" t="s">
        <v>44</v>
      </c>
      <c r="F37" s="43" t="s">
        <v>75</v>
      </c>
      <c r="G37" s="44">
        <v>0.7617647058823529</v>
      </c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</row>
    <row r="38" spans="1:29" x14ac:dyDescent="0.2">
      <c r="A38" s="37"/>
      <c r="B38" s="43" t="s">
        <v>39</v>
      </c>
      <c r="C38" s="43" t="s">
        <v>40</v>
      </c>
      <c r="D38" s="43">
        <v>50054</v>
      </c>
      <c r="E38" s="43" t="s">
        <v>44</v>
      </c>
      <c r="F38" s="43" t="s">
        <v>41</v>
      </c>
      <c r="G38" s="44">
        <v>0.75679128971786014</v>
      </c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</row>
    <row r="39" spans="1:29" x14ac:dyDescent="0.2">
      <c r="A39" s="37"/>
      <c r="B39" s="43" t="s">
        <v>46</v>
      </c>
      <c r="C39" s="43" t="s">
        <v>47</v>
      </c>
      <c r="D39" s="43">
        <v>50110</v>
      </c>
      <c r="E39" s="43" t="s">
        <v>44</v>
      </c>
      <c r="F39" s="43" t="s">
        <v>32</v>
      </c>
      <c r="G39" s="44">
        <v>0.74620033302121591</v>
      </c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</row>
    <row r="40" spans="1:29" x14ac:dyDescent="0.2">
      <c r="A40" s="37"/>
      <c r="B40" s="43" t="s">
        <v>27</v>
      </c>
      <c r="C40" s="43" t="s">
        <v>120</v>
      </c>
      <c r="D40" s="43">
        <v>50448</v>
      </c>
      <c r="E40" s="43" t="s">
        <v>44</v>
      </c>
      <c r="F40" s="43" t="s">
        <v>141</v>
      </c>
      <c r="G40" s="44">
        <v>0.74333409039291398</v>
      </c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</row>
    <row r="41" spans="1:29" x14ac:dyDescent="0.2">
      <c r="A41" s="37"/>
      <c r="B41" s="43" t="s">
        <v>142</v>
      </c>
      <c r="C41" s="43" t="s">
        <v>143</v>
      </c>
      <c r="D41" s="43">
        <v>50063</v>
      </c>
      <c r="E41" s="43" t="s">
        <v>44</v>
      </c>
      <c r="F41" s="43" t="s">
        <v>75</v>
      </c>
      <c r="G41" s="44">
        <v>0.74100732032108751</v>
      </c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</row>
    <row r="42" spans="1:29" x14ac:dyDescent="0.2">
      <c r="A42" s="37"/>
      <c r="B42" s="43" t="s">
        <v>144</v>
      </c>
      <c r="C42" s="43" t="s">
        <v>145</v>
      </c>
      <c r="D42" s="43">
        <v>60518</v>
      </c>
      <c r="E42" s="43" t="s">
        <v>44</v>
      </c>
      <c r="F42" s="43" t="s">
        <v>32</v>
      </c>
      <c r="G42" s="44">
        <v>0.73684210526315785</v>
      </c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</row>
    <row r="43" spans="1:29" ht="12.75" x14ac:dyDescent="0.2">
      <c r="A43" s="37"/>
      <c r="B43" s="43" t="s">
        <v>146</v>
      </c>
      <c r="C43" s="43" t="s">
        <v>147</v>
      </c>
      <c r="D43" s="43">
        <v>60426</v>
      </c>
      <c r="E43" s="43" t="s">
        <v>44</v>
      </c>
      <c r="F43" s="43" t="s">
        <v>32</v>
      </c>
      <c r="G43" s="44">
        <v>0.73684210526315785</v>
      </c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</row>
    <row r="44" spans="1:29" ht="12.75" x14ac:dyDescent="0.2">
      <c r="A44" s="37"/>
      <c r="B44" s="43" t="s">
        <v>50</v>
      </c>
      <c r="C44" s="43" t="s">
        <v>51</v>
      </c>
      <c r="D44" s="43">
        <v>51054</v>
      </c>
      <c r="E44" s="43" t="s">
        <v>44</v>
      </c>
      <c r="F44" s="43" t="s">
        <v>26</v>
      </c>
      <c r="G44" s="44">
        <v>0.73250000000000004</v>
      </c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</row>
    <row r="45" spans="1:29" ht="12.75" x14ac:dyDescent="0.2">
      <c r="A45" s="37"/>
      <c r="B45" s="43" t="s">
        <v>148</v>
      </c>
      <c r="C45" s="43" t="s">
        <v>149</v>
      </c>
      <c r="D45" s="43">
        <v>51071</v>
      </c>
      <c r="E45" s="43" t="s">
        <v>44</v>
      </c>
      <c r="F45" s="43" t="s">
        <v>26</v>
      </c>
      <c r="G45" s="44">
        <v>0.72262395537013535</v>
      </c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</row>
    <row r="46" spans="1:29" ht="12.75" x14ac:dyDescent="0.2">
      <c r="A46" s="37"/>
      <c r="B46" s="43" t="s">
        <v>150</v>
      </c>
      <c r="C46" s="43" t="s">
        <v>34</v>
      </c>
      <c r="D46" s="43">
        <v>51181</v>
      </c>
      <c r="E46" s="43" t="s">
        <v>44</v>
      </c>
      <c r="F46" s="43" t="s">
        <v>26</v>
      </c>
      <c r="G46" s="44">
        <v>0.70679384284260438</v>
      </c>
      <c r="H46" s="51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</row>
    <row r="47" spans="1:29" ht="12.75" x14ac:dyDescent="0.2">
      <c r="A47" s="37"/>
      <c r="B47" s="43" t="s">
        <v>48</v>
      </c>
      <c r="C47" s="43" t="s">
        <v>151</v>
      </c>
      <c r="D47" s="43">
        <v>51219</v>
      </c>
      <c r="E47" s="43" t="s">
        <v>44</v>
      </c>
      <c r="F47" s="43" t="s">
        <v>26</v>
      </c>
      <c r="G47" s="44">
        <v>0.69822423740929684</v>
      </c>
      <c r="H47" s="51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</row>
    <row r="48" spans="1:29" ht="12.75" x14ac:dyDescent="0.2">
      <c r="A48" s="37"/>
      <c r="B48" s="43" t="s">
        <v>110</v>
      </c>
      <c r="C48" s="43" t="s">
        <v>152</v>
      </c>
      <c r="D48" s="43">
        <v>51164</v>
      </c>
      <c r="E48" s="43" t="s">
        <v>44</v>
      </c>
      <c r="F48" s="43" t="s">
        <v>26</v>
      </c>
      <c r="G48" s="44">
        <v>0.69703635822056886</v>
      </c>
      <c r="H48" s="51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</row>
    <row r="49" spans="1:29" ht="12.75" x14ac:dyDescent="0.2">
      <c r="A49" s="37"/>
      <c r="B49" s="43" t="s">
        <v>59</v>
      </c>
      <c r="C49" s="43" t="s">
        <v>153</v>
      </c>
      <c r="D49" s="43" t="s">
        <v>154</v>
      </c>
      <c r="E49" s="43" t="s">
        <v>44</v>
      </c>
      <c r="F49" s="43" t="s">
        <v>26</v>
      </c>
      <c r="G49" s="44">
        <v>0.69444444444444442</v>
      </c>
      <c r="H49" s="51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</row>
    <row r="50" spans="1:29" ht="12.75" x14ac:dyDescent="0.2">
      <c r="A50" s="37"/>
      <c r="B50" s="43" t="s">
        <v>155</v>
      </c>
      <c r="C50" s="43" t="s">
        <v>82</v>
      </c>
      <c r="D50" s="43">
        <v>51180</v>
      </c>
      <c r="E50" s="43" t="s">
        <v>44</v>
      </c>
      <c r="F50" s="43" t="s">
        <v>32</v>
      </c>
      <c r="G50" s="44">
        <v>0.69279409053015861</v>
      </c>
      <c r="H50" s="51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</row>
    <row r="51" spans="1:29" ht="12.75" x14ac:dyDescent="0.2">
      <c r="A51" s="37"/>
      <c r="B51" s="43" t="s">
        <v>110</v>
      </c>
      <c r="C51" s="43" t="s">
        <v>156</v>
      </c>
      <c r="D51" s="43">
        <v>50168</v>
      </c>
      <c r="E51" s="43" t="s">
        <v>44</v>
      </c>
      <c r="F51" s="43" t="s">
        <v>75</v>
      </c>
      <c r="G51" s="44">
        <v>0.68657219973009442</v>
      </c>
      <c r="H51" s="51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</row>
    <row r="52" spans="1:29" ht="12.75" x14ac:dyDescent="0.2">
      <c r="A52" s="37"/>
      <c r="B52" s="43" t="s">
        <v>157</v>
      </c>
      <c r="C52" s="43" t="s">
        <v>158</v>
      </c>
      <c r="D52" s="43">
        <v>50053</v>
      </c>
      <c r="E52" s="43" t="s">
        <v>44</v>
      </c>
      <c r="F52" s="43" t="s">
        <v>26</v>
      </c>
      <c r="G52" s="44">
        <v>0.68421052631578949</v>
      </c>
      <c r="H52" s="51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</row>
    <row r="53" spans="1:29" ht="12.75" x14ac:dyDescent="0.2">
      <c r="A53" s="37"/>
      <c r="B53" s="46"/>
      <c r="C53" s="47"/>
      <c r="D53" s="47"/>
      <c r="E53" s="47"/>
      <c r="F53" s="47"/>
      <c r="G53" s="48"/>
      <c r="H53" s="51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</row>
    <row r="54" spans="1:29" ht="12.75" x14ac:dyDescent="0.2">
      <c r="A54" s="37"/>
      <c r="B54" s="8" t="s">
        <v>159</v>
      </c>
      <c r="C54" s="8" t="s">
        <v>82</v>
      </c>
      <c r="D54" s="8">
        <v>51210</v>
      </c>
      <c r="E54" s="8" t="s">
        <v>54</v>
      </c>
      <c r="F54" s="8" t="s">
        <v>75</v>
      </c>
      <c r="G54" s="52">
        <v>0.67567567567567566</v>
      </c>
      <c r="H54" s="51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</row>
    <row r="55" spans="1:29" ht="12.75" x14ac:dyDescent="0.2">
      <c r="A55" s="37"/>
      <c r="B55" s="8" t="s">
        <v>55</v>
      </c>
      <c r="C55" s="8" t="s">
        <v>56</v>
      </c>
      <c r="D55" s="8">
        <v>51228</v>
      </c>
      <c r="E55" s="8" t="s">
        <v>54</v>
      </c>
      <c r="F55" s="8" t="s">
        <v>26</v>
      </c>
      <c r="G55" s="52">
        <v>0.67469392469392464</v>
      </c>
      <c r="H55" s="51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</row>
    <row r="56" spans="1:29" ht="12.75" x14ac:dyDescent="0.2">
      <c r="A56" s="37"/>
      <c r="B56" s="8" t="s">
        <v>160</v>
      </c>
      <c r="C56" s="8" t="s">
        <v>125</v>
      </c>
      <c r="D56" s="8">
        <v>51157</v>
      </c>
      <c r="E56" s="8" t="s">
        <v>54</v>
      </c>
      <c r="F56" s="8" t="s">
        <v>75</v>
      </c>
      <c r="G56" s="52">
        <v>0.65923389452801218</v>
      </c>
      <c r="H56" s="51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</row>
    <row r="57" spans="1:29" ht="12.75" x14ac:dyDescent="0.2">
      <c r="A57" s="37"/>
      <c r="B57" s="8" t="s">
        <v>50</v>
      </c>
      <c r="C57" s="8" t="s">
        <v>161</v>
      </c>
      <c r="D57" s="8">
        <v>50334</v>
      </c>
      <c r="E57" s="8" t="s">
        <v>54</v>
      </c>
      <c r="F57" s="8" t="s">
        <v>26</v>
      </c>
      <c r="G57" s="52">
        <v>0.65789473684210531</v>
      </c>
      <c r="H57" s="51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</row>
    <row r="58" spans="1:29" ht="12.75" x14ac:dyDescent="0.2">
      <c r="A58" s="37"/>
      <c r="B58" s="8" t="s">
        <v>50</v>
      </c>
      <c r="C58" s="8" t="s">
        <v>131</v>
      </c>
      <c r="D58" s="8">
        <v>50194</v>
      </c>
      <c r="E58" s="8" t="s">
        <v>54</v>
      </c>
      <c r="F58" s="8" t="s">
        <v>26</v>
      </c>
      <c r="G58" s="52">
        <v>0.65714285714285714</v>
      </c>
      <c r="H58" s="51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</row>
    <row r="59" spans="1:29" ht="12.75" x14ac:dyDescent="0.2">
      <c r="A59" s="37"/>
      <c r="B59" s="8" t="s">
        <v>162</v>
      </c>
      <c r="C59" s="8" t="s">
        <v>163</v>
      </c>
      <c r="D59" s="8">
        <v>51197</v>
      </c>
      <c r="E59" s="8" t="s">
        <v>54</v>
      </c>
      <c r="F59" s="8" t="s">
        <v>26</v>
      </c>
      <c r="G59" s="52">
        <v>0.64929770867270864</v>
      </c>
      <c r="H59" s="51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</row>
    <row r="60" spans="1:29" ht="12.75" x14ac:dyDescent="0.2">
      <c r="A60" s="37"/>
      <c r="B60" s="8" t="s">
        <v>124</v>
      </c>
      <c r="C60" s="8" t="s">
        <v>164</v>
      </c>
      <c r="D60" s="8">
        <v>50660</v>
      </c>
      <c r="E60" s="8" t="s">
        <v>54</v>
      </c>
      <c r="F60" s="8" t="s">
        <v>32</v>
      </c>
      <c r="G60" s="52">
        <v>0.6216216216216216</v>
      </c>
      <c r="H60" s="51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</row>
    <row r="61" spans="1:29" ht="12.75" x14ac:dyDescent="0.2">
      <c r="A61" s="37"/>
      <c r="B61" s="8" t="s">
        <v>104</v>
      </c>
      <c r="C61" s="8" t="s">
        <v>165</v>
      </c>
      <c r="D61" s="8">
        <v>51227</v>
      </c>
      <c r="E61" s="8" t="s">
        <v>54</v>
      </c>
      <c r="F61" s="8" t="s">
        <v>75</v>
      </c>
      <c r="G61" s="52">
        <v>0.6216216216216216</v>
      </c>
      <c r="H61" s="51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</row>
    <row r="62" spans="1:29" ht="12.75" x14ac:dyDescent="0.2">
      <c r="A62" s="37"/>
      <c r="B62" s="8" t="s">
        <v>166</v>
      </c>
      <c r="C62" s="8" t="s">
        <v>34</v>
      </c>
      <c r="D62" s="8">
        <v>51032</v>
      </c>
      <c r="E62" s="8" t="s">
        <v>54</v>
      </c>
      <c r="F62" s="8" t="s">
        <v>26</v>
      </c>
      <c r="G62" s="52">
        <v>0.60526315789473684</v>
      </c>
      <c r="H62" s="51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</row>
    <row r="63" spans="1:29" ht="12.75" x14ac:dyDescent="0.2">
      <c r="A63" s="37"/>
      <c r="B63" s="8" t="s">
        <v>59</v>
      </c>
      <c r="C63" s="8" t="s">
        <v>60</v>
      </c>
      <c r="D63" s="8">
        <v>51213</v>
      </c>
      <c r="E63" s="8" t="s">
        <v>54</v>
      </c>
      <c r="F63" s="8" t="s">
        <v>26</v>
      </c>
      <c r="G63" s="52">
        <v>0.59935897435897445</v>
      </c>
      <c r="H63" s="51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</row>
    <row r="64" spans="1:29" ht="12.75" x14ac:dyDescent="0.2">
      <c r="A64" s="37"/>
      <c r="B64" s="8" t="s">
        <v>31</v>
      </c>
      <c r="C64" s="8" t="s">
        <v>34</v>
      </c>
      <c r="D64" s="8">
        <v>51196</v>
      </c>
      <c r="E64" s="8" t="s">
        <v>54</v>
      </c>
      <c r="F64" s="8" t="s">
        <v>26</v>
      </c>
      <c r="G64" s="52">
        <v>0.59565004565004565</v>
      </c>
      <c r="H64" s="51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</row>
    <row r="65" spans="1:29" ht="12.75" x14ac:dyDescent="0.2">
      <c r="A65" s="37"/>
      <c r="B65" s="8" t="s">
        <v>42</v>
      </c>
      <c r="C65" s="8" t="s">
        <v>28</v>
      </c>
      <c r="D65" s="8">
        <v>21893</v>
      </c>
      <c r="E65" s="8" t="s">
        <v>54</v>
      </c>
      <c r="F65" s="8" t="s">
        <v>132</v>
      </c>
      <c r="G65" s="52">
        <v>0.58823529411764708</v>
      </c>
      <c r="H65" s="51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</row>
    <row r="66" spans="1:29" ht="12.75" x14ac:dyDescent="0.2">
      <c r="A66" s="37"/>
      <c r="B66" s="8" t="s">
        <v>167</v>
      </c>
      <c r="C66" s="8" t="s">
        <v>116</v>
      </c>
      <c r="D66" s="8">
        <v>51058</v>
      </c>
      <c r="E66" s="8" t="s">
        <v>54</v>
      </c>
      <c r="F66" s="8" t="s">
        <v>32</v>
      </c>
      <c r="G66" s="52">
        <v>0.5641025641025641</v>
      </c>
      <c r="H66" s="51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</row>
    <row r="67" spans="1:29" ht="12.75" x14ac:dyDescent="0.2">
      <c r="A67" s="37"/>
      <c r="B67" s="8" t="s">
        <v>168</v>
      </c>
      <c r="C67" s="8" t="s">
        <v>40</v>
      </c>
      <c r="D67" s="8">
        <v>60201</v>
      </c>
      <c r="E67" s="8" t="s">
        <v>54</v>
      </c>
      <c r="F67" s="8" t="s">
        <v>41</v>
      </c>
      <c r="G67" s="52">
        <v>0.55263157894736847</v>
      </c>
      <c r="H67" s="51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</row>
    <row r="68" spans="1:29" ht="12.75" x14ac:dyDescent="0.2">
      <c r="A68" s="37"/>
      <c r="B68" s="8" t="s">
        <v>169</v>
      </c>
      <c r="C68" s="8" t="s">
        <v>113</v>
      </c>
      <c r="D68" s="8">
        <v>50060</v>
      </c>
      <c r="E68" s="8" t="s">
        <v>54</v>
      </c>
      <c r="F68" s="8" t="s">
        <v>75</v>
      </c>
      <c r="G68" s="52">
        <v>0.51259808195292067</v>
      </c>
      <c r="H68" s="51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</row>
    <row r="69" spans="1:29" ht="12.75" x14ac:dyDescent="0.2">
      <c r="A69" s="37"/>
      <c r="B69" s="8" t="s">
        <v>27</v>
      </c>
      <c r="C69" s="8" t="s">
        <v>170</v>
      </c>
      <c r="D69" s="8" t="s">
        <v>154</v>
      </c>
      <c r="E69" s="8" t="s">
        <v>54</v>
      </c>
      <c r="F69" s="8" t="s">
        <v>154</v>
      </c>
      <c r="G69" s="52">
        <v>0.48648648648648651</v>
      </c>
      <c r="H69" s="51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</row>
    <row r="70" spans="1:29" ht="12.75" x14ac:dyDescent="0.2">
      <c r="A70" s="37"/>
      <c r="B70" s="8" t="s">
        <v>167</v>
      </c>
      <c r="C70" s="8" t="s">
        <v>161</v>
      </c>
      <c r="D70" s="8">
        <v>50554</v>
      </c>
      <c r="E70" s="8" t="s">
        <v>54</v>
      </c>
      <c r="F70" s="8" t="s">
        <v>26</v>
      </c>
      <c r="G70" s="52">
        <v>0.465415045910402</v>
      </c>
      <c r="H70" s="51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</row>
    <row r="71" spans="1:29" ht="12.75" x14ac:dyDescent="0.2">
      <c r="A71" s="37"/>
      <c r="B71" s="8" t="s">
        <v>171</v>
      </c>
      <c r="C71" s="8" t="s">
        <v>40</v>
      </c>
      <c r="D71" s="8">
        <v>51177</v>
      </c>
      <c r="E71" s="8" t="s">
        <v>54</v>
      </c>
      <c r="F71" s="8" t="s">
        <v>65</v>
      </c>
      <c r="G71" s="52">
        <v>0.45945945945945948</v>
      </c>
      <c r="H71" s="51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</row>
    <row r="72" spans="1:29" ht="12.75" x14ac:dyDescent="0.2">
      <c r="A72" s="37"/>
      <c r="B72" s="8" t="s">
        <v>42</v>
      </c>
      <c r="C72" s="8" t="s">
        <v>172</v>
      </c>
      <c r="D72" s="8">
        <v>50192</v>
      </c>
      <c r="E72" s="8" t="s">
        <v>54</v>
      </c>
      <c r="F72" s="8" t="s">
        <v>26</v>
      </c>
      <c r="G72" s="52">
        <v>0.42105263157894735</v>
      </c>
      <c r="H72" s="51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</row>
    <row r="73" spans="1:29" ht="12.75" x14ac:dyDescent="0.2">
      <c r="A73" s="37"/>
      <c r="B73" s="8" t="s">
        <v>61</v>
      </c>
      <c r="C73" s="8" t="s">
        <v>62</v>
      </c>
      <c r="D73" s="8">
        <v>51191</v>
      </c>
      <c r="E73" s="8" t="s">
        <v>54</v>
      </c>
      <c r="F73" s="8" t="s">
        <v>26</v>
      </c>
      <c r="G73" s="52">
        <v>0.42005243820259303</v>
      </c>
      <c r="H73" s="51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</row>
    <row r="74" spans="1:29" ht="12.75" x14ac:dyDescent="0.2">
      <c r="A74" s="37"/>
      <c r="B74" s="8" t="s">
        <v>45</v>
      </c>
      <c r="C74" s="8" t="s">
        <v>173</v>
      </c>
      <c r="D74" s="8">
        <v>51091</v>
      </c>
      <c r="E74" s="8" t="s">
        <v>54</v>
      </c>
      <c r="F74" s="8" t="s">
        <v>75</v>
      </c>
      <c r="G74" s="52">
        <v>0.38235294117647056</v>
      </c>
      <c r="H74" s="51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</row>
    <row r="75" spans="1:29" ht="12.75" x14ac:dyDescent="0.2">
      <c r="A75" s="37"/>
      <c r="B75" s="8" t="s">
        <v>78</v>
      </c>
      <c r="C75" s="8" t="s">
        <v>79</v>
      </c>
      <c r="D75" s="8">
        <v>50826</v>
      </c>
      <c r="E75" s="8" t="s">
        <v>54</v>
      </c>
      <c r="F75" s="8" t="s">
        <v>26</v>
      </c>
      <c r="G75" s="52">
        <v>0.36842105263157893</v>
      </c>
      <c r="H75" s="51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</row>
    <row r="76" spans="1:29" ht="12.75" x14ac:dyDescent="0.2">
      <c r="A76" s="37"/>
      <c r="B76" s="8" t="s">
        <v>174</v>
      </c>
      <c r="C76" s="8" t="s">
        <v>31</v>
      </c>
      <c r="D76" s="8">
        <v>50942</v>
      </c>
      <c r="E76" s="8" t="s">
        <v>54</v>
      </c>
      <c r="F76" s="8" t="s">
        <v>26</v>
      </c>
      <c r="G76" s="52">
        <v>0.34210526315789475</v>
      </c>
      <c r="H76" s="51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</row>
    <row r="77" spans="1:29" ht="12.75" x14ac:dyDescent="0.2">
      <c r="A77" s="37"/>
      <c r="B77" s="8" t="s">
        <v>135</v>
      </c>
      <c r="C77" s="8" t="s">
        <v>175</v>
      </c>
      <c r="D77" s="8" t="s">
        <v>154</v>
      </c>
      <c r="E77" s="8" t="s">
        <v>54</v>
      </c>
      <c r="F77" s="8" t="s">
        <v>65</v>
      </c>
      <c r="G77" s="52">
        <v>0.15384615384615385</v>
      </c>
      <c r="H77" s="51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</row>
    <row r="78" spans="1:29" ht="12.75" x14ac:dyDescent="0.2">
      <c r="A78" s="37"/>
      <c r="B78" s="8" t="s">
        <v>176</v>
      </c>
      <c r="C78" s="8" t="s">
        <v>177</v>
      </c>
      <c r="D78" s="8" t="s">
        <v>154</v>
      </c>
      <c r="E78" s="8" t="s">
        <v>54</v>
      </c>
      <c r="F78" s="8" t="s">
        <v>26</v>
      </c>
      <c r="G78" s="52">
        <v>0.10810810810810811</v>
      </c>
      <c r="H78" s="51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</row>
    <row r="79" spans="1:29" ht="12.75" x14ac:dyDescent="0.2">
      <c r="A79" s="37"/>
      <c r="B79" s="8" t="s">
        <v>40</v>
      </c>
      <c r="C79" s="8" t="s">
        <v>178</v>
      </c>
      <c r="D79" s="8">
        <v>50997</v>
      </c>
      <c r="E79" s="8" t="s">
        <v>54</v>
      </c>
      <c r="F79" s="8" t="s">
        <v>41</v>
      </c>
      <c r="G79" s="52" t="s">
        <v>188</v>
      </c>
      <c r="H79" s="51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</row>
    <row r="80" spans="1:29" ht="12.75" x14ac:dyDescent="0.2">
      <c r="A80" s="37"/>
      <c r="B80" s="8" t="s">
        <v>104</v>
      </c>
      <c r="C80" s="8" t="s">
        <v>51</v>
      </c>
      <c r="D80" s="8">
        <v>51076</v>
      </c>
      <c r="E80" s="8" t="s">
        <v>54</v>
      </c>
      <c r="F80" s="8" t="s">
        <v>26</v>
      </c>
      <c r="G80" s="52" t="s">
        <v>188</v>
      </c>
      <c r="H80" s="51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</row>
    <row r="81" spans="1:29" ht="12.75" x14ac:dyDescent="0.2">
      <c r="A81" s="37"/>
      <c r="B81" s="51"/>
      <c r="C81" s="51"/>
      <c r="D81" s="51"/>
      <c r="E81" s="51"/>
      <c r="F81" s="51"/>
      <c r="G81" s="51"/>
      <c r="H81" s="51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</row>
    <row r="82" spans="1:29" ht="12.75" x14ac:dyDescent="0.2">
      <c r="A82" s="37"/>
      <c r="B82" s="51"/>
      <c r="C82" s="51"/>
      <c r="D82" s="51"/>
      <c r="E82" s="51"/>
      <c r="F82" s="51"/>
      <c r="G82" s="51"/>
      <c r="H82" s="51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</row>
    <row r="83" spans="1:29" ht="12.75" x14ac:dyDescent="0.2">
      <c r="A83" s="37"/>
      <c r="B83" s="51"/>
      <c r="C83" s="51"/>
      <c r="D83" s="51"/>
      <c r="E83" s="51"/>
      <c r="F83" s="51"/>
      <c r="G83" s="51"/>
      <c r="H83" s="51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</row>
    <row r="84" spans="1:29" ht="12.75" x14ac:dyDescent="0.2">
      <c r="A84" s="37"/>
      <c r="B84" s="51"/>
      <c r="C84" s="51"/>
      <c r="D84" s="51"/>
      <c r="E84" s="51"/>
      <c r="F84" s="51"/>
      <c r="G84" s="51"/>
      <c r="H84" s="51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</row>
    <row r="85" spans="1:29" ht="12.75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</row>
    <row r="86" spans="1:29" ht="12.75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</row>
    <row r="87" spans="1:29" ht="12.75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</row>
    <row r="88" spans="1:29" ht="12.75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</row>
    <row r="89" spans="1:29" ht="12.75" x14ac:dyDescent="0.2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</row>
    <row r="90" spans="1:29" ht="12.75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</row>
    <row r="91" spans="1:29" ht="12.75" x14ac:dyDescent="0.2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</row>
    <row r="92" spans="1:29" ht="12.75" x14ac:dyDescent="0.2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</row>
    <row r="93" spans="1:29" ht="12.75" x14ac:dyDescent="0.2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</row>
    <row r="94" spans="1:29" ht="12.75" x14ac:dyDescent="0.2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</row>
    <row r="95" spans="1:29" ht="12.75" x14ac:dyDescent="0.2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</row>
    <row r="96" spans="1:29" ht="12.75" x14ac:dyDescent="0.2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</row>
    <row r="97" spans="1:29" ht="12.75" x14ac:dyDescent="0.2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</row>
    <row r="98" spans="1:29" ht="12.75" x14ac:dyDescent="0.2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</row>
    <row r="99" spans="1:29" ht="12.75" x14ac:dyDescent="0.2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</row>
    <row r="100" spans="1:29" ht="12.75" x14ac:dyDescent="0.2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</row>
    <row r="101" spans="1:29" ht="12.75" x14ac:dyDescent="0.2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</row>
    <row r="102" spans="1:29" ht="12.75" x14ac:dyDescent="0.2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</row>
    <row r="103" spans="1:29" ht="12.75" x14ac:dyDescent="0.2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</row>
    <row r="104" spans="1:29" ht="12.75" x14ac:dyDescent="0.2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</row>
    <row r="105" spans="1:29" ht="12.75" x14ac:dyDescent="0.2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</row>
    <row r="106" spans="1:29" ht="12.75" x14ac:dyDescent="0.2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</row>
    <row r="107" spans="1:29" ht="12.75" x14ac:dyDescent="0.2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</row>
    <row r="108" spans="1:29" ht="12.75" x14ac:dyDescent="0.2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</row>
    <row r="109" spans="1:29" ht="12.75" x14ac:dyDescent="0.2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</row>
    <row r="110" spans="1:29" ht="12.75" x14ac:dyDescent="0.2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</row>
    <row r="111" spans="1:29" ht="12.75" x14ac:dyDescent="0.2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</row>
    <row r="112" spans="1:29" ht="12.75" x14ac:dyDescent="0.2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</row>
    <row r="113" spans="1:29" ht="12.75" x14ac:dyDescent="0.2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</row>
    <row r="114" spans="1:29" ht="12.75" x14ac:dyDescent="0.2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</row>
    <row r="115" spans="1:29" ht="12.75" x14ac:dyDescent="0.2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</row>
    <row r="116" spans="1:29" ht="12.75" x14ac:dyDescent="0.2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</row>
    <row r="117" spans="1:29" ht="12.75" x14ac:dyDescent="0.2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</row>
    <row r="118" spans="1:29" ht="12.75" x14ac:dyDescent="0.2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</row>
    <row r="119" spans="1:29" ht="12.75" x14ac:dyDescent="0.2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</row>
    <row r="120" spans="1:29" ht="12.75" x14ac:dyDescent="0.2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</row>
    <row r="121" spans="1:29" ht="12.75" x14ac:dyDescent="0.2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</row>
    <row r="122" spans="1:29" ht="12.75" x14ac:dyDescent="0.2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</row>
    <row r="123" spans="1:29" ht="12.75" x14ac:dyDescent="0.2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</row>
    <row r="124" spans="1:29" ht="12.75" x14ac:dyDescent="0.2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</row>
    <row r="125" spans="1:29" ht="12.75" x14ac:dyDescent="0.2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</row>
    <row r="126" spans="1:29" ht="12.75" x14ac:dyDescent="0.2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</row>
    <row r="127" spans="1:29" ht="12.75" x14ac:dyDescent="0.2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</row>
    <row r="128" spans="1:29" ht="12.75" x14ac:dyDescent="0.2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</row>
    <row r="129" spans="1:29" ht="12.75" x14ac:dyDescent="0.2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</row>
    <row r="130" spans="1:29" ht="12.75" x14ac:dyDescent="0.2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</row>
    <row r="131" spans="1:29" ht="12.75" x14ac:dyDescent="0.2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</row>
    <row r="132" spans="1:29" ht="12.75" x14ac:dyDescent="0.2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</row>
    <row r="133" spans="1:29" ht="12.75" x14ac:dyDescent="0.2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</row>
    <row r="134" spans="1:29" ht="12.75" x14ac:dyDescent="0.2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</row>
    <row r="135" spans="1:29" ht="12.75" x14ac:dyDescent="0.2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</row>
    <row r="136" spans="1:29" ht="12.75" x14ac:dyDescent="0.2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</row>
    <row r="137" spans="1:29" ht="12.75" x14ac:dyDescent="0.2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</row>
    <row r="138" spans="1:29" ht="12.75" x14ac:dyDescent="0.2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</row>
    <row r="139" spans="1:29" ht="12.75" x14ac:dyDescent="0.2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</row>
    <row r="140" spans="1:29" ht="12.75" x14ac:dyDescent="0.2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</row>
    <row r="141" spans="1:29" ht="12.75" x14ac:dyDescent="0.2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</row>
    <row r="142" spans="1:29" ht="12.75" x14ac:dyDescent="0.2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</row>
    <row r="143" spans="1:29" ht="12.75" x14ac:dyDescent="0.2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</row>
    <row r="144" spans="1:29" ht="12.75" x14ac:dyDescent="0.2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</row>
    <row r="145" spans="1:29" ht="12.75" x14ac:dyDescent="0.2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</row>
    <row r="146" spans="1:29" ht="12.75" x14ac:dyDescent="0.2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</row>
    <row r="147" spans="1:29" ht="12.75" x14ac:dyDescent="0.2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</row>
    <row r="148" spans="1:29" ht="12.75" x14ac:dyDescent="0.2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</row>
    <row r="149" spans="1:29" ht="12.75" x14ac:dyDescent="0.2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</row>
    <row r="150" spans="1:29" ht="12.75" x14ac:dyDescent="0.2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</row>
    <row r="151" spans="1:29" ht="12.75" x14ac:dyDescent="0.2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</row>
    <row r="152" spans="1:29" ht="12.75" x14ac:dyDescent="0.2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</row>
    <row r="153" spans="1:29" ht="12.75" x14ac:dyDescent="0.2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</row>
    <row r="154" spans="1:29" ht="12.75" x14ac:dyDescent="0.2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</row>
    <row r="155" spans="1:29" ht="12.75" x14ac:dyDescent="0.2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</row>
    <row r="156" spans="1:29" ht="12.75" x14ac:dyDescent="0.2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</row>
    <row r="157" spans="1:29" ht="12.75" x14ac:dyDescent="0.2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</row>
    <row r="158" spans="1:29" ht="12.75" x14ac:dyDescent="0.2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</row>
    <row r="159" spans="1:29" ht="12.75" x14ac:dyDescent="0.2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</row>
    <row r="160" spans="1:29" ht="12.75" x14ac:dyDescent="0.2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</row>
    <row r="161" spans="1:29" ht="12.75" x14ac:dyDescent="0.2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</row>
    <row r="162" spans="1:29" ht="12.75" x14ac:dyDescent="0.2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</row>
    <row r="163" spans="1:29" ht="12.75" x14ac:dyDescent="0.2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</row>
    <row r="164" spans="1:29" ht="12.75" x14ac:dyDescent="0.2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</row>
    <row r="165" spans="1:29" ht="12.75" x14ac:dyDescent="0.2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</row>
    <row r="166" spans="1:29" ht="12.75" x14ac:dyDescent="0.2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</row>
    <row r="167" spans="1:29" ht="12.75" x14ac:dyDescent="0.2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</row>
    <row r="168" spans="1:29" ht="12.75" x14ac:dyDescent="0.2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</row>
    <row r="169" spans="1:29" ht="12.75" x14ac:dyDescent="0.2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</row>
    <row r="170" spans="1:29" ht="12.75" x14ac:dyDescent="0.2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</row>
    <row r="171" spans="1:29" ht="12.75" x14ac:dyDescent="0.2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</row>
    <row r="172" spans="1:29" ht="12.75" x14ac:dyDescent="0.2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</row>
    <row r="173" spans="1:29" ht="12.75" x14ac:dyDescent="0.2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</row>
    <row r="174" spans="1:29" ht="12.75" x14ac:dyDescent="0.2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</row>
    <row r="175" spans="1:29" ht="12.75" x14ac:dyDescent="0.2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</row>
    <row r="176" spans="1:29" ht="12.75" x14ac:dyDescent="0.2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</row>
    <row r="177" spans="1:29" ht="12.75" x14ac:dyDescent="0.2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</row>
    <row r="178" spans="1:29" ht="12.75" x14ac:dyDescent="0.2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</row>
    <row r="179" spans="1:29" ht="12.75" x14ac:dyDescent="0.2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</row>
    <row r="180" spans="1:29" ht="12.75" x14ac:dyDescent="0.2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</row>
    <row r="181" spans="1:29" ht="12.75" x14ac:dyDescent="0.2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</row>
    <row r="182" spans="1:29" ht="12.75" x14ac:dyDescent="0.2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</row>
    <row r="183" spans="1:29" ht="12.75" x14ac:dyDescent="0.2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</row>
    <row r="184" spans="1:29" ht="12.75" x14ac:dyDescent="0.2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</row>
    <row r="185" spans="1:29" ht="12.75" x14ac:dyDescent="0.2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</row>
    <row r="186" spans="1:29" ht="12.75" x14ac:dyDescent="0.2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</row>
    <row r="187" spans="1:29" ht="12.75" x14ac:dyDescent="0.2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</row>
    <row r="188" spans="1:29" ht="12.75" x14ac:dyDescent="0.2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</row>
    <row r="189" spans="1:29" ht="12.75" x14ac:dyDescent="0.2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</row>
    <row r="190" spans="1:29" ht="12.75" x14ac:dyDescent="0.2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</row>
    <row r="191" spans="1:29" ht="12.75" x14ac:dyDescent="0.2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</row>
    <row r="192" spans="1:29" ht="12.75" x14ac:dyDescent="0.2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</row>
    <row r="193" spans="1:29" ht="12.75" x14ac:dyDescent="0.2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</row>
    <row r="194" spans="1:29" ht="12.75" x14ac:dyDescent="0.2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</row>
    <row r="195" spans="1:29" ht="12.75" x14ac:dyDescent="0.2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</row>
    <row r="196" spans="1:29" ht="12.75" x14ac:dyDescent="0.2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</row>
    <row r="197" spans="1:29" ht="12.75" x14ac:dyDescent="0.2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</row>
    <row r="198" spans="1:29" ht="12.75" x14ac:dyDescent="0.2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</row>
    <row r="199" spans="1:29" ht="12.75" x14ac:dyDescent="0.2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</row>
    <row r="200" spans="1:29" ht="12.75" x14ac:dyDescent="0.2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</row>
    <row r="201" spans="1:29" ht="12.75" x14ac:dyDescent="0.2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</row>
    <row r="202" spans="1:29" ht="12.75" x14ac:dyDescent="0.2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</row>
    <row r="203" spans="1:29" ht="12.75" x14ac:dyDescent="0.2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</row>
    <row r="204" spans="1:29" ht="12.75" x14ac:dyDescent="0.2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</row>
    <row r="205" spans="1:29" ht="12.75" x14ac:dyDescent="0.2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</row>
    <row r="206" spans="1:29" ht="12.75" x14ac:dyDescent="0.2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</row>
    <row r="207" spans="1:29" ht="12.75" x14ac:dyDescent="0.2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</row>
    <row r="208" spans="1:29" ht="12.75" x14ac:dyDescent="0.2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</row>
    <row r="209" spans="1:29" ht="12.75" x14ac:dyDescent="0.2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</row>
    <row r="210" spans="1:29" ht="12.75" x14ac:dyDescent="0.2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</row>
    <row r="211" spans="1:29" ht="12.75" x14ac:dyDescent="0.2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</row>
    <row r="212" spans="1:29" ht="12.75" x14ac:dyDescent="0.2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</row>
    <row r="213" spans="1:29" ht="12.75" x14ac:dyDescent="0.2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</row>
    <row r="214" spans="1:29" ht="12.75" x14ac:dyDescent="0.2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</row>
    <row r="215" spans="1:29" ht="12.75" x14ac:dyDescent="0.2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</row>
    <row r="216" spans="1:29" ht="12.75" x14ac:dyDescent="0.2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</row>
    <row r="217" spans="1:29" ht="12.75" x14ac:dyDescent="0.2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</row>
    <row r="218" spans="1:29" ht="12.75" x14ac:dyDescent="0.2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</row>
    <row r="219" spans="1:29" ht="12.75" x14ac:dyDescent="0.2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</row>
    <row r="220" spans="1:29" ht="12.75" x14ac:dyDescent="0.2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</row>
    <row r="221" spans="1:29" ht="12.75" x14ac:dyDescent="0.2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</row>
    <row r="222" spans="1:29" ht="12.75" x14ac:dyDescent="0.2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</row>
    <row r="223" spans="1:29" ht="12.75" x14ac:dyDescent="0.2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</row>
    <row r="224" spans="1:29" ht="12.75" x14ac:dyDescent="0.2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</row>
    <row r="225" spans="1:29" ht="12.75" x14ac:dyDescent="0.2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</row>
    <row r="226" spans="1:29" ht="12.75" x14ac:dyDescent="0.2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</row>
    <row r="227" spans="1:29" ht="12.75" x14ac:dyDescent="0.2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</row>
    <row r="228" spans="1:29" ht="12.75" x14ac:dyDescent="0.2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</row>
    <row r="229" spans="1:29" ht="12.75" x14ac:dyDescent="0.2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</row>
    <row r="230" spans="1:29" ht="12.75" x14ac:dyDescent="0.2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</row>
    <row r="231" spans="1:29" ht="12.75" x14ac:dyDescent="0.2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</row>
    <row r="232" spans="1:29" ht="12.75" x14ac:dyDescent="0.2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</row>
    <row r="233" spans="1:29" ht="12.75" x14ac:dyDescent="0.2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</row>
    <row r="234" spans="1:29" ht="12.75" x14ac:dyDescent="0.2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</row>
    <row r="235" spans="1:29" ht="12.75" x14ac:dyDescent="0.2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</row>
    <row r="236" spans="1:29" ht="12.75" x14ac:dyDescent="0.2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</row>
    <row r="237" spans="1:29" ht="12.75" x14ac:dyDescent="0.2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</row>
    <row r="238" spans="1:29" ht="12.75" x14ac:dyDescent="0.2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</row>
    <row r="239" spans="1:29" ht="12.75" x14ac:dyDescent="0.2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</row>
    <row r="240" spans="1:29" ht="12.75" x14ac:dyDescent="0.2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</row>
    <row r="241" spans="1:29" ht="12.75" x14ac:dyDescent="0.2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</row>
    <row r="242" spans="1:29" ht="12.75" x14ac:dyDescent="0.2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</row>
    <row r="243" spans="1:29" ht="12.75" x14ac:dyDescent="0.2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</row>
    <row r="244" spans="1:29" ht="12.75" x14ac:dyDescent="0.2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</row>
    <row r="245" spans="1:29" ht="12.75" x14ac:dyDescent="0.2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</row>
    <row r="246" spans="1:29" ht="12.75" x14ac:dyDescent="0.2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</row>
    <row r="247" spans="1:29" ht="12.75" x14ac:dyDescent="0.2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</row>
    <row r="248" spans="1:29" ht="12.75" x14ac:dyDescent="0.2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</row>
    <row r="249" spans="1:29" ht="12.75" x14ac:dyDescent="0.2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</row>
    <row r="250" spans="1:29" ht="12.75" x14ac:dyDescent="0.2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</row>
    <row r="251" spans="1:29" ht="12.75" x14ac:dyDescent="0.2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</row>
    <row r="252" spans="1:29" ht="12.75" x14ac:dyDescent="0.2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</row>
    <row r="253" spans="1:29" ht="12.75" x14ac:dyDescent="0.2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</row>
    <row r="254" spans="1:29" ht="12.75" x14ac:dyDescent="0.2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</row>
    <row r="255" spans="1:29" ht="12.75" x14ac:dyDescent="0.2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</row>
    <row r="256" spans="1:29" ht="12.75" x14ac:dyDescent="0.2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</row>
    <row r="257" spans="1:29" ht="12.75" x14ac:dyDescent="0.2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</row>
    <row r="258" spans="1:29" ht="12.75" x14ac:dyDescent="0.2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</row>
    <row r="259" spans="1:29" ht="12.75" x14ac:dyDescent="0.2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</row>
    <row r="260" spans="1:29" ht="12.75" x14ac:dyDescent="0.2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</row>
    <row r="261" spans="1:29" ht="12.75" x14ac:dyDescent="0.2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</row>
    <row r="262" spans="1:29" ht="12.75" x14ac:dyDescent="0.2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</row>
    <row r="263" spans="1:29" ht="12.75" x14ac:dyDescent="0.2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</row>
    <row r="264" spans="1:29" ht="12.75" x14ac:dyDescent="0.2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</row>
    <row r="265" spans="1:29" ht="12.75" x14ac:dyDescent="0.2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</row>
    <row r="266" spans="1:29" ht="12.75" x14ac:dyDescent="0.2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</row>
    <row r="267" spans="1:29" ht="12.75" x14ac:dyDescent="0.2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</row>
    <row r="268" spans="1:29" ht="12.75" x14ac:dyDescent="0.2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</row>
    <row r="269" spans="1:29" ht="12.75" x14ac:dyDescent="0.2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</row>
    <row r="270" spans="1:29" ht="12.75" x14ac:dyDescent="0.2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</row>
    <row r="271" spans="1:29" ht="12.75" x14ac:dyDescent="0.2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</row>
    <row r="272" spans="1:29" ht="12.75" x14ac:dyDescent="0.2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</row>
    <row r="273" spans="1:29" ht="12.75" x14ac:dyDescent="0.2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</row>
    <row r="274" spans="1:29" ht="12.75" x14ac:dyDescent="0.2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</row>
    <row r="275" spans="1:29" ht="12.75" x14ac:dyDescent="0.2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</row>
    <row r="276" spans="1:29" ht="12.75" x14ac:dyDescent="0.2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</row>
    <row r="277" spans="1:29" ht="12.75" x14ac:dyDescent="0.2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</row>
    <row r="278" spans="1:29" ht="12.75" x14ac:dyDescent="0.2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</row>
    <row r="279" spans="1:29" ht="12.75" x14ac:dyDescent="0.2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</row>
    <row r="280" spans="1:29" ht="12.75" x14ac:dyDescent="0.2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</row>
    <row r="281" spans="1:29" ht="12.75" x14ac:dyDescent="0.2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</row>
    <row r="282" spans="1:29" ht="12.75" x14ac:dyDescent="0.2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</row>
    <row r="283" spans="1:29" ht="12.75" x14ac:dyDescent="0.2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</row>
    <row r="284" spans="1:29" ht="12.75" x14ac:dyDescent="0.2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</row>
    <row r="285" spans="1:29" ht="12.75" x14ac:dyDescent="0.2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</row>
    <row r="286" spans="1:29" ht="12.75" x14ac:dyDescent="0.2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</row>
    <row r="287" spans="1:29" ht="12.75" x14ac:dyDescent="0.2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</row>
    <row r="288" spans="1:29" ht="12.75" x14ac:dyDescent="0.2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</row>
    <row r="289" spans="1:29" ht="12.75" x14ac:dyDescent="0.2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</row>
    <row r="290" spans="1:29" ht="12.75" x14ac:dyDescent="0.2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</row>
    <row r="291" spans="1:29" ht="12.75" x14ac:dyDescent="0.2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</row>
    <row r="292" spans="1:29" ht="12.75" x14ac:dyDescent="0.2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</row>
    <row r="293" spans="1:29" ht="12.75" x14ac:dyDescent="0.2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</row>
    <row r="294" spans="1:29" ht="12.75" x14ac:dyDescent="0.2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</row>
    <row r="295" spans="1:29" ht="12.75" x14ac:dyDescent="0.2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</row>
    <row r="296" spans="1:29" ht="12.75" x14ac:dyDescent="0.2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</row>
    <row r="297" spans="1:29" ht="12.75" x14ac:dyDescent="0.2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</row>
    <row r="298" spans="1:29" ht="12.75" x14ac:dyDescent="0.2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</row>
    <row r="299" spans="1:29" ht="12.75" x14ac:dyDescent="0.2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</row>
    <row r="300" spans="1:29" ht="12.75" x14ac:dyDescent="0.2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</row>
    <row r="301" spans="1:29" ht="12.75" x14ac:dyDescent="0.2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</row>
    <row r="302" spans="1:29" ht="12.75" x14ac:dyDescent="0.2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</row>
    <row r="303" spans="1:29" ht="12.75" x14ac:dyDescent="0.2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</row>
    <row r="304" spans="1:29" ht="12.75" x14ac:dyDescent="0.2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</row>
    <row r="305" spans="1:29" ht="12.75" x14ac:dyDescent="0.2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</row>
    <row r="306" spans="1:29" ht="12.75" x14ac:dyDescent="0.2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</row>
    <row r="307" spans="1:29" ht="12.75" x14ac:dyDescent="0.2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</row>
    <row r="308" spans="1:29" ht="12.75" x14ac:dyDescent="0.2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</row>
    <row r="309" spans="1:29" ht="12.75" x14ac:dyDescent="0.2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</row>
    <row r="310" spans="1:29" ht="12.75" x14ac:dyDescent="0.2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</row>
    <row r="311" spans="1:29" ht="12.75" x14ac:dyDescent="0.2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</row>
    <row r="312" spans="1:29" ht="12.75" x14ac:dyDescent="0.2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</row>
    <row r="313" spans="1:29" ht="12.75" x14ac:dyDescent="0.2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</row>
    <row r="314" spans="1:29" ht="12.75" x14ac:dyDescent="0.2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</row>
    <row r="315" spans="1:29" ht="12.75" x14ac:dyDescent="0.2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</row>
    <row r="316" spans="1:29" ht="12.75" x14ac:dyDescent="0.2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</row>
    <row r="317" spans="1:29" ht="12.75" x14ac:dyDescent="0.2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</row>
    <row r="318" spans="1:29" ht="12.75" x14ac:dyDescent="0.2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</row>
    <row r="319" spans="1:29" ht="12.75" x14ac:dyDescent="0.2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</row>
    <row r="320" spans="1:29" ht="12.75" x14ac:dyDescent="0.2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</row>
    <row r="321" spans="1:29" ht="12.75" x14ac:dyDescent="0.2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</row>
    <row r="322" spans="1:29" ht="12.75" x14ac:dyDescent="0.2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</row>
    <row r="323" spans="1:29" ht="12.75" x14ac:dyDescent="0.2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</row>
    <row r="324" spans="1:29" ht="12.75" x14ac:dyDescent="0.2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</row>
    <row r="325" spans="1:29" ht="12.75" x14ac:dyDescent="0.2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</row>
    <row r="326" spans="1:29" ht="12.75" x14ac:dyDescent="0.2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</row>
    <row r="327" spans="1:29" ht="12.75" x14ac:dyDescent="0.2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</row>
    <row r="328" spans="1:29" ht="12.75" x14ac:dyDescent="0.2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</row>
    <row r="329" spans="1:29" ht="12.75" x14ac:dyDescent="0.2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</row>
    <row r="330" spans="1:29" ht="12.75" x14ac:dyDescent="0.2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</row>
    <row r="331" spans="1:29" ht="12.75" x14ac:dyDescent="0.2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</row>
    <row r="332" spans="1:29" ht="12.75" x14ac:dyDescent="0.2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</row>
    <row r="333" spans="1:29" ht="12.75" x14ac:dyDescent="0.2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</row>
    <row r="334" spans="1:29" ht="12.75" x14ac:dyDescent="0.2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</row>
    <row r="335" spans="1:29" ht="12.75" x14ac:dyDescent="0.2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</row>
    <row r="336" spans="1:29" ht="12.75" x14ac:dyDescent="0.2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</row>
    <row r="337" spans="1:29" ht="12.75" x14ac:dyDescent="0.2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</row>
    <row r="338" spans="1:29" ht="12.75" x14ac:dyDescent="0.2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</row>
    <row r="339" spans="1:29" ht="12.75" x14ac:dyDescent="0.2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</row>
    <row r="340" spans="1:29" ht="12.75" x14ac:dyDescent="0.2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</row>
    <row r="341" spans="1:29" ht="12.75" x14ac:dyDescent="0.2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</row>
    <row r="342" spans="1:29" ht="12.75" x14ac:dyDescent="0.2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</row>
    <row r="343" spans="1:29" ht="12.75" x14ac:dyDescent="0.2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</row>
    <row r="344" spans="1:29" ht="12.75" x14ac:dyDescent="0.2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</row>
    <row r="345" spans="1:29" ht="12.75" x14ac:dyDescent="0.2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</row>
    <row r="346" spans="1:29" ht="12.75" x14ac:dyDescent="0.2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</row>
    <row r="347" spans="1:29" ht="12.75" x14ac:dyDescent="0.2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</row>
    <row r="348" spans="1:29" ht="12.75" x14ac:dyDescent="0.2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</row>
    <row r="349" spans="1:29" ht="12.75" x14ac:dyDescent="0.2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</row>
    <row r="350" spans="1:29" ht="12.75" x14ac:dyDescent="0.2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</row>
    <row r="351" spans="1:29" ht="12.75" x14ac:dyDescent="0.2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</row>
    <row r="352" spans="1:29" ht="12.75" x14ac:dyDescent="0.2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</row>
    <row r="353" spans="1:29" ht="12.75" x14ac:dyDescent="0.2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</row>
    <row r="354" spans="1:29" ht="12.75" x14ac:dyDescent="0.2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</row>
    <row r="355" spans="1:29" ht="12.75" x14ac:dyDescent="0.2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</row>
    <row r="356" spans="1:29" ht="12.75" x14ac:dyDescent="0.2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</row>
    <row r="357" spans="1:29" ht="12.75" x14ac:dyDescent="0.2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</row>
    <row r="358" spans="1:29" ht="12.75" x14ac:dyDescent="0.2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</row>
    <row r="359" spans="1:29" ht="12.75" x14ac:dyDescent="0.2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</row>
    <row r="360" spans="1:29" ht="12.75" x14ac:dyDescent="0.2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</row>
    <row r="361" spans="1:29" ht="12.75" x14ac:dyDescent="0.2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</row>
    <row r="362" spans="1:29" ht="12.75" x14ac:dyDescent="0.2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</row>
    <row r="363" spans="1:29" ht="12.75" x14ac:dyDescent="0.2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</row>
    <row r="364" spans="1:29" ht="12.75" x14ac:dyDescent="0.2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</row>
    <row r="365" spans="1:29" ht="12.75" x14ac:dyDescent="0.2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</row>
    <row r="366" spans="1:29" ht="12.75" x14ac:dyDescent="0.2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</row>
    <row r="367" spans="1:29" ht="12.75" x14ac:dyDescent="0.2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</row>
    <row r="368" spans="1:29" ht="12.75" x14ac:dyDescent="0.2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</row>
    <row r="369" spans="1:29" ht="12.75" x14ac:dyDescent="0.2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</row>
    <row r="370" spans="1:29" ht="12.75" x14ac:dyDescent="0.2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</row>
    <row r="371" spans="1:29" ht="12.75" x14ac:dyDescent="0.2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</row>
    <row r="372" spans="1:29" ht="12.75" x14ac:dyDescent="0.2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</row>
    <row r="373" spans="1:29" ht="12.75" x14ac:dyDescent="0.2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</row>
    <row r="374" spans="1:29" ht="12.75" x14ac:dyDescent="0.2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</row>
    <row r="375" spans="1:29" ht="12.75" x14ac:dyDescent="0.2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</row>
    <row r="376" spans="1:29" ht="12.75" x14ac:dyDescent="0.2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</row>
    <row r="377" spans="1:29" ht="12.75" x14ac:dyDescent="0.2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</row>
    <row r="378" spans="1:29" ht="12.75" x14ac:dyDescent="0.2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</row>
    <row r="379" spans="1:29" ht="12.75" x14ac:dyDescent="0.2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</row>
    <row r="380" spans="1:29" ht="12.75" x14ac:dyDescent="0.2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</row>
    <row r="381" spans="1:29" ht="12.75" x14ac:dyDescent="0.2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</row>
    <row r="382" spans="1:29" ht="12.75" x14ac:dyDescent="0.2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</row>
    <row r="383" spans="1:29" ht="12.75" x14ac:dyDescent="0.2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</row>
    <row r="384" spans="1:29" ht="12.75" x14ac:dyDescent="0.2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</row>
    <row r="385" spans="1:29" ht="12.75" x14ac:dyDescent="0.2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</row>
    <row r="386" spans="1:29" ht="12.75" x14ac:dyDescent="0.2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</row>
    <row r="387" spans="1:29" ht="12.75" x14ac:dyDescent="0.2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</row>
    <row r="388" spans="1:29" ht="12.75" x14ac:dyDescent="0.2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</row>
    <row r="389" spans="1:29" ht="12.75" x14ac:dyDescent="0.2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</row>
    <row r="390" spans="1:29" ht="12.75" x14ac:dyDescent="0.2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</row>
    <row r="391" spans="1:29" ht="12.75" x14ac:dyDescent="0.2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</row>
    <row r="392" spans="1:29" ht="12.75" x14ac:dyDescent="0.2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</row>
    <row r="393" spans="1:29" ht="12.75" x14ac:dyDescent="0.2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</row>
    <row r="394" spans="1:29" ht="12.75" x14ac:dyDescent="0.2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</row>
    <row r="395" spans="1:29" ht="12.75" x14ac:dyDescent="0.2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</row>
    <row r="396" spans="1:29" ht="12.75" x14ac:dyDescent="0.2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</row>
    <row r="397" spans="1:29" ht="12.75" x14ac:dyDescent="0.2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7"/>
    </row>
    <row r="398" spans="1:29" ht="12.75" x14ac:dyDescent="0.2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</row>
    <row r="399" spans="1:29" ht="12.75" x14ac:dyDescent="0.2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</row>
    <row r="400" spans="1:29" ht="12.75" x14ac:dyDescent="0.2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</row>
    <row r="401" spans="1:29" ht="12.75" x14ac:dyDescent="0.2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</row>
    <row r="402" spans="1:29" ht="12.75" x14ac:dyDescent="0.2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</row>
    <row r="403" spans="1:29" ht="12.75" x14ac:dyDescent="0.2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</row>
    <row r="404" spans="1:29" ht="12.75" x14ac:dyDescent="0.2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</row>
    <row r="405" spans="1:29" ht="12.75" x14ac:dyDescent="0.2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</row>
    <row r="406" spans="1:29" ht="12.75" x14ac:dyDescent="0.2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</row>
    <row r="407" spans="1:29" ht="12.75" x14ac:dyDescent="0.2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</row>
    <row r="408" spans="1:29" ht="12.75" x14ac:dyDescent="0.2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</row>
    <row r="409" spans="1:29" ht="12.75" x14ac:dyDescent="0.2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  <c r="AC409" s="37"/>
    </row>
    <row r="410" spans="1:29" ht="12.75" x14ac:dyDescent="0.2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  <c r="AC410" s="37"/>
    </row>
    <row r="411" spans="1:29" ht="12.75" x14ac:dyDescent="0.2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  <c r="AC411" s="37"/>
    </row>
    <row r="412" spans="1:29" ht="12.75" x14ac:dyDescent="0.2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  <c r="AC412" s="37"/>
    </row>
    <row r="413" spans="1:29" ht="12.75" x14ac:dyDescent="0.2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  <c r="AC413" s="37"/>
    </row>
    <row r="414" spans="1:29" ht="12.75" x14ac:dyDescent="0.2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  <c r="AC414" s="37"/>
    </row>
    <row r="415" spans="1:29" ht="12.75" x14ac:dyDescent="0.2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7"/>
    </row>
    <row r="416" spans="1:29" ht="12.75" x14ac:dyDescent="0.2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  <c r="AC416" s="37"/>
    </row>
    <row r="417" spans="1:29" ht="12.75" x14ac:dyDescent="0.2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  <c r="AC417" s="37"/>
    </row>
    <row r="418" spans="1:29" ht="12.75" x14ac:dyDescent="0.2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  <c r="AC418" s="37"/>
    </row>
    <row r="419" spans="1:29" ht="12.75" x14ac:dyDescent="0.2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</row>
    <row r="420" spans="1:29" ht="12.75" x14ac:dyDescent="0.2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7"/>
    </row>
    <row r="421" spans="1:29" ht="12.75" x14ac:dyDescent="0.2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  <c r="AC421" s="37"/>
    </row>
    <row r="422" spans="1:29" ht="12.75" x14ac:dyDescent="0.2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7"/>
    </row>
    <row r="423" spans="1:29" ht="12.75" x14ac:dyDescent="0.2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7"/>
    </row>
    <row r="424" spans="1:29" ht="12.75" x14ac:dyDescent="0.2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</row>
    <row r="425" spans="1:29" ht="12.75" x14ac:dyDescent="0.2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</row>
    <row r="426" spans="1:29" ht="12.75" x14ac:dyDescent="0.2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7"/>
    </row>
    <row r="427" spans="1:29" ht="12.75" x14ac:dyDescent="0.2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</row>
    <row r="428" spans="1:29" ht="12.75" x14ac:dyDescent="0.2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7"/>
    </row>
    <row r="429" spans="1:29" ht="12.75" x14ac:dyDescent="0.2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</row>
    <row r="430" spans="1:29" ht="12.75" x14ac:dyDescent="0.2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</row>
    <row r="431" spans="1:29" ht="12.75" x14ac:dyDescent="0.2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7"/>
    </row>
    <row r="432" spans="1:29" ht="12.75" x14ac:dyDescent="0.2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</row>
    <row r="433" spans="1:29" ht="12.75" x14ac:dyDescent="0.2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7"/>
    </row>
    <row r="434" spans="1:29" ht="12.75" x14ac:dyDescent="0.2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7"/>
    </row>
    <row r="435" spans="1:29" ht="12.75" x14ac:dyDescent="0.2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</row>
    <row r="436" spans="1:29" ht="12.75" x14ac:dyDescent="0.2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</row>
    <row r="437" spans="1:29" ht="12.75" x14ac:dyDescent="0.2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</row>
    <row r="438" spans="1:29" ht="12.75" x14ac:dyDescent="0.2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</row>
    <row r="439" spans="1:29" ht="12.75" x14ac:dyDescent="0.2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  <c r="AC439" s="37"/>
    </row>
    <row r="440" spans="1:29" ht="12.75" x14ac:dyDescent="0.2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7"/>
    </row>
    <row r="441" spans="1:29" ht="12.75" x14ac:dyDescent="0.2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  <c r="AC441" s="37"/>
    </row>
    <row r="442" spans="1:29" ht="12.75" x14ac:dyDescent="0.2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  <c r="AB442" s="37"/>
      <c r="AC442" s="37"/>
    </row>
    <row r="443" spans="1:29" ht="12.75" x14ac:dyDescent="0.2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  <c r="AC443" s="37"/>
    </row>
    <row r="444" spans="1:29" ht="12.75" x14ac:dyDescent="0.2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  <c r="AB444" s="37"/>
      <c r="AC444" s="37"/>
    </row>
    <row r="445" spans="1:29" ht="12.75" x14ac:dyDescent="0.2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  <c r="AC445" s="37"/>
    </row>
    <row r="446" spans="1:29" ht="12.75" x14ac:dyDescent="0.2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  <c r="AB446" s="37"/>
      <c r="AC446" s="37"/>
    </row>
    <row r="447" spans="1:29" ht="12.75" x14ac:dyDescent="0.2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  <c r="AB447" s="37"/>
      <c r="AC447" s="37"/>
    </row>
    <row r="448" spans="1:29" ht="12.75" x14ac:dyDescent="0.2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  <c r="AB448" s="37"/>
      <c r="AC448" s="37"/>
    </row>
    <row r="449" spans="1:29" ht="12.75" x14ac:dyDescent="0.2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  <c r="AC449" s="37"/>
    </row>
    <row r="450" spans="1:29" ht="12.75" x14ac:dyDescent="0.2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  <c r="AB450" s="37"/>
      <c r="AC450" s="37"/>
    </row>
    <row r="451" spans="1:29" ht="12.75" x14ac:dyDescent="0.2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  <c r="AC451" s="37"/>
    </row>
    <row r="452" spans="1:29" ht="12.75" x14ac:dyDescent="0.2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7"/>
    </row>
    <row r="453" spans="1:29" ht="12.75" x14ac:dyDescent="0.2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  <c r="AC453" s="37"/>
    </row>
    <row r="454" spans="1:29" ht="12.75" x14ac:dyDescent="0.2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  <c r="AC454" s="37"/>
    </row>
    <row r="455" spans="1:29" ht="12.75" x14ac:dyDescent="0.2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  <c r="AC455" s="37"/>
    </row>
    <row r="456" spans="1:29" ht="12.75" x14ac:dyDescent="0.2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  <c r="AC456" s="37"/>
    </row>
    <row r="457" spans="1:29" ht="12.75" x14ac:dyDescent="0.2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  <c r="AC457" s="37"/>
    </row>
    <row r="458" spans="1:29" ht="12.75" x14ac:dyDescent="0.2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  <c r="AC458" s="37"/>
    </row>
    <row r="459" spans="1:29" ht="12.75" x14ac:dyDescent="0.2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  <c r="AC459" s="37"/>
    </row>
    <row r="460" spans="1:29" ht="12.75" x14ac:dyDescent="0.2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  <c r="AC460" s="37"/>
    </row>
    <row r="461" spans="1:29" ht="12.75" x14ac:dyDescent="0.2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  <c r="AB461" s="37"/>
      <c r="AC461" s="37"/>
    </row>
    <row r="462" spans="1:29" ht="12.75" x14ac:dyDescent="0.2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  <c r="AC462" s="37"/>
    </row>
    <row r="463" spans="1:29" ht="12.75" x14ac:dyDescent="0.2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  <c r="AB463" s="37"/>
      <c r="AC463" s="37"/>
    </row>
    <row r="464" spans="1:29" ht="12.75" x14ac:dyDescent="0.2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  <c r="AB464" s="37"/>
      <c r="AC464" s="37"/>
    </row>
    <row r="465" spans="1:29" ht="12.75" x14ac:dyDescent="0.2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  <c r="AB465" s="37"/>
      <c r="AC465" s="37"/>
    </row>
    <row r="466" spans="1:29" ht="12.75" x14ac:dyDescent="0.2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  <c r="AC466" s="37"/>
    </row>
    <row r="467" spans="1:29" ht="12.75" x14ac:dyDescent="0.2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  <c r="AC467" s="37"/>
    </row>
    <row r="468" spans="1:29" ht="12.75" x14ac:dyDescent="0.2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  <c r="AC468" s="37"/>
    </row>
    <row r="469" spans="1:29" ht="12.75" x14ac:dyDescent="0.2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  <c r="AC469" s="37"/>
    </row>
    <row r="470" spans="1:29" ht="12.75" x14ac:dyDescent="0.2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  <c r="AC470" s="37"/>
    </row>
    <row r="471" spans="1:29" ht="12.75" x14ac:dyDescent="0.2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  <c r="AC471" s="37"/>
    </row>
    <row r="472" spans="1:29" ht="12.75" x14ac:dyDescent="0.2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  <c r="AC472" s="37"/>
    </row>
    <row r="473" spans="1:29" ht="12.75" x14ac:dyDescent="0.2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  <c r="AB473" s="37"/>
      <c r="AC473" s="37"/>
    </row>
    <row r="474" spans="1:29" ht="12.75" x14ac:dyDescent="0.2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  <c r="AC474" s="37"/>
    </row>
    <row r="475" spans="1:29" ht="12.75" x14ac:dyDescent="0.2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  <c r="AB475" s="37"/>
      <c r="AC475" s="37"/>
    </row>
    <row r="476" spans="1:29" ht="12.75" x14ac:dyDescent="0.2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  <c r="AC476" s="37"/>
    </row>
    <row r="477" spans="1:29" ht="12.75" x14ac:dyDescent="0.2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  <c r="AC477" s="37"/>
    </row>
    <row r="478" spans="1:29" ht="12.75" x14ac:dyDescent="0.2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  <c r="AC478" s="37"/>
    </row>
    <row r="479" spans="1:29" ht="12.75" x14ac:dyDescent="0.2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  <c r="AB479" s="37"/>
      <c r="AC479" s="37"/>
    </row>
    <row r="480" spans="1:29" ht="12.75" x14ac:dyDescent="0.2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  <c r="AB480" s="37"/>
      <c r="AC480" s="37"/>
    </row>
    <row r="481" spans="1:29" ht="12.75" x14ac:dyDescent="0.2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  <c r="AB481" s="37"/>
      <c r="AC481" s="37"/>
    </row>
    <row r="482" spans="1:29" ht="12.75" x14ac:dyDescent="0.2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  <c r="AB482" s="37"/>
      <c r="AC482" s="37"/>
    </row>
    <row r="483" spans="1:29" ht="12.75" x14ac:dyDescent="0.2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  <c r="AB483" s="37"/>
      <c r="AC483" s="37"/>
    </row>
    <row r="484" spans="1:29" ht="12.75" x14ac:dyDescent="0.2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  <c r="AB484" s="37"/>
      <c r="AC484" s="37"/>
    </row>
    <row r="485" spans="1:29" ht="12.75" x14ac:dyDescent="0.2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  <c r="AB485" s="37"/>
      <c r="AC485" s="37"/>
    </row>
    <row r="486" spans="1:29" ht="12.75" x14ac:dyDescent="0.2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  <c r="AB486" s="37"/>
      <c r="AC486" s="37"/>
    </row>
    <row r="487" spans="1:29" ht="12.75" x14ac:dyDescent="0.2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  <c r="AB487" s="37"/>
      <c r="AC487" s="37"/>
    </row>
    <row r="488" spans="1:29" ht="12.75" x14ac:dyDescent="0.2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  <c r="AB488" s="37"/>
      <c r="AC488" s="37"/>
    </row>
    <row r="489" spans="1:29" ht="12.75" x14ac:dyDescent="0.2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  <c r="AB489" s="37"/>
      <c r="AC489" s="37"/>
    </row>
    <row r="490" spans="1:29" ht="12.75" x14ac:dyDescent="0.2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  <c r="AB490" s="37"/>
      <c r="AC490" s="37"/>
    </row>
    <row r="491" spans="1:29" ht="12.75" x14ac:dyDescent="0.2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  <c r="AB491" s="37"/>
      <c r="AC491" s="37"/>
    </row>
    <row r="492" spans="1:29" ht="12.75" x14ac:dyDescent="0.2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  <c r="AB492" s="37"/>
      <c r="AC492" s="37"/>
    </row>
    <row r="493" spans="1:29" ht="12.75" x14ac:dyDescent="0.2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  <c r="AC493" s="37"/>
    </row>
    <row r="494" spans="1:29" ht="12.75" x14ac:dyDescent="0.2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  <c r="AC494" s="37"/>
    </row>
    <row r="495" spans="1:29" ht="12.75" x14ac:dyDescent="0.2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  <c r="AB495" s="37"/>
      <c r="AC495" s="37"/>
    </row>
    <row r="496" spans="1:29" ht="12.75" x14ac:dyDescent="0.2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  <c r="AC496" s="37"/>
    </row>
    <row r="497" spans="1:29" ht="12.75" x14ac:dyDescent="0.2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  <c r="AC497" s="37"/>
    </row>
    <row r="498" spans="1:29" ht="12.75" x14ac:dyDescent="0.2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  <c r="AB498" s="37"/>
      <c r="AC498" s="37"/>
    </row>
    <row r="499" spans="1:29" ht="12.75" x14ac:dyDescent="0.2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  <c r="AB499" s="37"/>
      <c r="AC499" s="37"/>
    </row>
    <row r="500" spans="1:29" ht="12.75" x14ac:dyDescent="0.2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  <c r="AB500" s="37"/>
      <c r="AC500" s="37"/>
    </row>
    <row r="501" spans="1:29" ht="12.75" x14ac:dyDescent="0.2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  <c r="AB501" s="37"/>
      <c r="AC501" s="37"/>
    </row>
    <row r="502" spans="1:29" ht="12.75" x14ac:dyDescent="0.2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  <c r="AB502" s="37"/>
      <c r="AC502" s="37"/>
    </row>
    <row r="503" spans="1:29" ht="12.75" x14ac:dyDescent="0.2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  <c r="AB503" s="37"/>
      <c r="AC503" s="37"/>
    </row>
    <row r="504" spans="1:29" ht="12.75" x14ac:dyDescent="0.2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  <c r="AB504" s="37"/>
      <c r="AC504" s="37"/>
    </row>
    <row r="505" spans="1:29" ht="12.75" x14ac:dyDescent="0.2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  <c r="AB505" s="37"/>
      <c r="AC505" s="37"/>
    </row>
    <row r="506" spans="1:29" ht="12.75" x14ac:dyDescent="0.2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  <c r="AB506" s="37"/>
      <c r="AC506" s="37"/>
    </row>
    <row r="507" spans="1:29" ht="12.75" x14ac:dyDescent="0.2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  <c r="AB507" s="37"/>
      <c r="AC507" s="37"/>
    </row>
    <row r="508" spans="1:29" ht="12.75" x14ac:dyDescent="0.2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  <c r="AB508" s="37"/>
      <c r="AC508" s="37"/>
    </row>
    <row r="509" spans="1:29" ht="12.75" x14ac:dyDescent="0.2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  <c r="AB509" s="37"/>
      <c r="AC509" s="37"/>
    </row>
    <row r="510" spans="1:29" ht="12.75" x14ac:dyDescent="0.2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  <c r="AB510" s="37"/>
      <c r="AC510" s="37"/>
    </row>
    <row r="511" spans="1:29" ht="12.75" x14ac:dyDescent="0.2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  <c r="AB511" s="37"/>
      <c r="AC511" s="37"/>
    </row>
    <row r="512" spans="1:29" ht="12.75" x14ac:dyDescent="0.2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  <c r="AB512" s="37"/>
      <c r="AC512" s="37"/>
    </row>
    <row r="513" spans="1:29" ht="12.75" x14ac:dyDescent="0.2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  <c r="AB513" s="37"/>
      <c r="AC513" s="37"/>
    </row>
    <row r="514" spans="1:29" ht="12.75" x14ac:dyDescent="0.2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  <c r="AB514" s="37"/>
      <c r="AC514" s="37"/>
    </row>
    <row r="515" spans="1:29" ht="12.75" x14ac:dyDescent="0.2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  <c r="AB515" s="37"/>
      <c r="AC515" s="37"/>
    </row>
    <row r="516" spans="1:29" ht="12.75" x14ac:dyDescent="0.2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  <c r="AB516" s="37"/>
      <c r="AC516" s="37"/>
    </row>
    <row r="517" spans="1:29" ht="12.75" x14ac:dyDescent="0.2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  <c r="AB517" s="37"/>
      <c r="AC517" s="37"/>
    </row>
    <row r="518" spans="1:29" ht="12.75" x14ac:dyDescent="0.2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  <c r="AB518" s="37"/>
      <c r="AC518" s="37"/>
    </row>
    <row r="519" spans="1:29" ht="12.75" x14ac:dyDescent="0.2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  <c r="AB519" s="37"/>
      <c r="AC519" s="37"/>
    </row>
    <row r="520" spans="1:29" ht="12.75" x14ac:dyDescent="0.2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  <c r="AB520" s="37"/>
      <c r="AC520" s="37"/>
    </row>
    <row r="521" spans="1:29" ht="12.75" x14ac:dyDescent="0.2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  <c r="AB521" s="37"/>
      <c r="AC521" s="37"/>
    </row>
    <row r="522" spans="1:29" ht="12.75" x14ac:dyDescent="0.2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  <c r="AB522" s="37"/>
      <c r="AC522" s="37"/>
    </row>
    <row r="523" spans="1:29" ht="12.75" x14ac:dyDescent="0.2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  <c r="AB523" s="37"/>
      <c r="AC523" s="37"/>
    </row>
    <row r="524" spans="1:29" ht="12.75" x14ac:dyDescent="0.2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  <c r="AA524" s="37"/>
      <c r="AB524" s="37"/>
      <c r="AC524" s="37"/>
    </row>
    <row r="525" spans="1:29" ht="12.75" x14ac:dyDescent="0.2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  <c r="AA525" s="37"/>
      <c r="AB525" s="37"/>
      <c r="AC525" s="37"/>
    </row>
    <row r="526" spans="1:29" ht="12.75" x14ac:dyDescent="0.2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/>
      <c r="AB526" s="37"/>
      <c r="AC526" s="37"/>
    </row>
    <row r="527" spans="1:29" ht="12.75" x14ac:dyDescent="0.2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  <c r="AB527" s="37"/>
      <c r="AC527" s="37"/>
    </row>
    <row r="528" spans="1:29" ht="12.75" x14ac:dyDescent="0.2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  <c r="AB528" s="37"/>
      <c r="AC528" s="37"/>
    </row>
    <row r="529" spans="1:29" ht="12.75" x14ac:dyDescent="0.2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  <c r="AA529" s="37"/>
      <c r="AB529" s="37"/>
      <c r="AC529" s="37"/>
    </row>
    <row r="530" spans="1:29" ht="12.75" x14ac:dyDescent="0.2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  <c r="AA530" s="37"/>
      <c r="AB530" s="37"/>
      <c r="AC530" s="37"/>
    </row>
    <row r="531" spans="1:29" ht="12.75" x14ac:dyDescent="0.2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  <c r="AA531" s="37"/>
      <c r="AB531" s="37"/>
      <c r="AC531" s="37"/>
    </row>
    <row r="532" spans="1:29" ht="12.75" x14ac:dyDescent="0.2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  <c r="AB532" s="37"/>
      <c r="AC532" s="37"/>
    </row>
    <row r="533" spans="1:29" ht="12.75" x14ac:dyDescent="0.2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  <c r="AA533" s="37"/>
      <c r="AB533" s="37"/>
      <c r="AC533" s="37"/>
    </row>
    <row r="534" spans="1:29" ht="12.75" x14ac:dyDescent="0.2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  <c r="AA534" s="37"/>
      <c r="AB534" s="37"/>
      <c r="AC534" s="37"/>
    </row>
    <row r="535" spans="1:29" ht="12.75" x14ac:dyDescent="0.2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  <c r="AB535" s="37"/>
      <c r="AC535" s="37"/>
    </row>
    <row r="536" spans="1:29" ht="12.75" x14ac:dyDescent="0.2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  <c r="AA536" s="37"/>
      <c r="AB536" s="37"/>
      <c r="AC536" s="37"/>
    </row>
    <row r="537" spans="1:29" ht="12.75" x14ac:dyDescent="0.2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  <c r="AA537" s="37"/>
      <c r="AB537" s="37"/>
      <c r="AC537" s="37"/>
    </row>
    <row r="538" spans="1:29" ht="12.75" x14ac:dyDescent="0.2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  <c r="AA538" s="37"/>
      <c r="AB538" s="37"/>
      <c r="AC538" s="37"/>
    </row>
    <row r="539" spans="1:29" ht="12.75" x14ac:dyDescent="0.2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  <c r="AB539" s="37"/>
      <c r="AC539" s="37"/>
    </row>
    <row r="540" spans="1:29" ht="12.75" x14ac:dyDescent="0.2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  <c r="AB540" s="37"/>
      <c r="AC540" s="37"/>
    </row>
    <row r="541" spans="1:29" ht="12.75" x14ac:dyDescent="0.2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  <c r="AA541" s="37"/>
      <c r="AB541" s="37"/>
      <c r="AC541" s="37"/>
    </row>
    <row r="542" spans="1:29" ht="12.75" x14ac:dyDescent="0.2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  <c r="AA542" s="37"/>
      <c r="AB542" s="37"/>
      <c r="AC542" s="37"/>
    </row>
    <row r="543" spans="1:29" ht="12.75" x14ac:dyDescent="0.2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  <c r="AA543" s="37"/>
      <c r="AB543" s="37"/>
      <c r="AC543" s="37"/>
    </row>
    <row r="544" spans="1:29" ht="12.75" x14ac:dyDescent="0.2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  <c r="AA544" s="37"/>
      <c r="AB544" s="37"/>
      <c r="AC544" s="37"/>
    </row>
    <row r="545" spans="1:29" ht="12.75" x14ac:dyDescent="0.2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  <c r="AA545" s="37"/>
      <c r="AB545" s="37"/>
      <c r="AC545" s="37"/>
    </row>
    <row r="546" spans="1:29" ht="12.75" x14ac:dyDescent="0.2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  <c r="AA546" s="37"/>
      <c r="AB546" s="37"/>
      <c r="AC546" s="37"/>
    </row>
    <row r="547" spans="1:29" ht="12.75" x14ac:dyDescent="0.2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  <c r="AA547" s="37"/>
      <c r="AB547" s="37"/>
      <c r="AC547" s="37"/>
    </row>
    <row r="548" spans="1:29" ht="12.75" x14ac:dyDescent="0.2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  <c r="AA548" s="37"/>
      <c r="AB548" s="37"/>
      <c r="AC548" s="37"/>
    </row>
    <row r="549" spans="1:29" ht="12.75" x14ac:dyDescent="0.2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  <c r="AA549" s="37"/>
      <c r="AB549" s="37"/>
      <c r="AC549" s="37"/>
    </row>
    <row r="550" spans="1:29" ht="12.75" x14ac:dyDescent="0.2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  <c r="AA550" s="37"/>
      <c r="AB550" s="37"/>
      <c r="AC550" s="37"/>
    </row>
    <row r="551" spans="1:29" ht="12.75" x14ac:dyDescent="0.2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  <c r="AA551" s="37"/>
      <c r="AB551" s="37"/>
      <c r="AC551" s="37"/>
    </row>
    <row r="552" spans="1:29" ht="12.75" x14ac:dyDescent="0.2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  <c r="AA552" s="37"/>
      <c r="AB552" s="37"/>
      <c r="AC552" s="37"/>
    </row>
    <row r="553" spans="1:29" ht="12.75" x14ac:dyDescent="0.2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  <c r="AA553" s="37"/>
      <c r="AB553" s="37"/>
      <c r="AC553" s="37"/>
    </row>
    <row r="554" spans="1:29" ht="12.75" x14ac:dyDescent="0.2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  <c r="AA554" s="37"/>
      <c r="AB554" s="37"/>
      <c r="AC554" s="37"/>
    </row>
    <row r="555" spans="1:29" ht="12.75" x14ac:dyDescent="0.2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  <c r="AA555" s="37"/>
      <c r="AB555" s="37"/>
      <c r="AC555" s="37"/>
    </row>
    <row r="556" spans="1:29" ht="12.75" x14ac:dyDescent="0.2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  <c r="AA556" s="37"/>
      <c r="AB556" s="37"/>
      <c r="AC556" s="37"/>
    </row>
    <row r="557" spans="1:29" ht="12.75" x14ac:dyDescent="0.2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  <c r="AB557" s="37"/>
      <c r="AC557" s="37"/>
    </row>
    <row r="558" spans="1:29" ht="12.75" x14ac:dyDescent="0.2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  <c r="AA558" s="37"/>
      <c r="AB558" s="37"/>
      <c r="AC558" s="37"/>
    </row>
    <row r="559" spans="1:29" ht="12.75" x14ac:dyDescent="0.2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  <c r="AA559" s="37"/>
      <c r="AB559" s="37"/>
      <c r="AC559" s="37"/>
    </row>
    <row r="560" spans="1:29" ht="12.75" x14ac:dyDescent="0.2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  <c r="AA560" s="37"/>
      <c r="AB560" s="37"/>
      <c r="AC560" s="37"/>
    </row>
    <row r="561" spans="1:29" ht="12.75" x14ac:dyDescent="0.2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  <c r="AA561" s="37"/>
      <c r="AB561" s="37"/>
      <c r="AC561" s="37"/>
    </row>
    <row r="562" spans="1:29" ht="12.75" x14ac:dyDescent="0.2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  <c r="AA562" s="37"/>
      <c r="AB562" s="37"/>
      <c r="AC562" s="37"/>
    </row>
    <row r="563" spans="1:29" ht="12.75" x14ac:dyDescent="0.2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  <c r="AA563" s="37"/>
      <c r="AB563" s="37"/>
      <c r="AC563" s="37"/>
    </row>
    <row r="564" spans="1:29" ht="12.75" x14ac:dyDescent="0.2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  <c r="AA564" s="37"/>
      <c r="AB564" s="37"/>
      <c r="AC564" s="37"/>
    </row>
    <row r="565" spans="1:29" ht="12.75" x14ac:dyDescent="0.2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  <c r="AA565" s="37"/>
      <c r="AB565" s="37"/>
      <c r="AC565" s="37"/>
    </row>
    <row r="566" spans="1:29" ht="12.75" x14ac:dyDescent="0.2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  <c r="AA566" s="37"/>
      <c r="AB566" s="37"/>
      <c r="AC566" s="37"/>
    </row>
    <row r="567" spans="1:29" ht="12.75" x14ac:dyDescent="0.2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  <c r="AA567" s="37"/>
      <c r="AB567" s="37"/>
      <c r="AC567" s="37"/>
    </row>
    <row r="568" spans="1:29" ht="12.75" x14ac:dyDescent="0.2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  <c r="AB568" s="37"/>
      <c r="AC568" s="37"/>
    </row>
    <row r="569" spans="1:29" ht="12.75" x14ac:dyDescent="0.2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  <c r="AA569" s="37"/>
      <c r="AB569" s="37"/>
      <c r="AC569" s="37"/>
    </row>
    <row r="570" spans="1:29" ht="12.75" x14ac:dyDescent="0.2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  <c r="AA570" s="37"/>
      <c r="AB570" s="37"/>
      <c r="AC570" s="37"/>
    </row>
    <row r="571" spans="1:29" ht="12.75" x14ac:dyDescent="0.2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  <c r="AA571" s="37"/>
      <c r="AB571" s="37"/>
      <c r="AC571" s="37"/>
    </row>
    <row r="572" spans="1:29" ht="12.75" x14ac:dyDescent="0.2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  <c r="AA572" s="37"/>
      <c r="AB572" s="37"/>
      <c r="AC572" s="37"/>
    </row>
    <row r="573" spans="1:29" ht="12.75" x14ac:dyDescent="0.2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  <c r="AA573" s="37"/>
      <c r="AB573" s="37"/>
      <c r="AC573" s="37"/>
    </row>
    <row r="574" spans="1:29" ht="12.75" x14ac:dyDescent="0.2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  <c r="AA574" s="37"/>
      <c r="AB574" s="37"/>
      <c r="AC574" s="37"/>
    </row>
    <row r="575" spans="1:29" ht="12.75" x14ac:dyDescent="0.2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  <c r="AA575" s="37"/>
      <c r="AB575" s="37"/>
      <c r="AC575" s="37"/>
    </row>
    <row r="576" spans="1:29" ht="12.75" x14ac:dyDescent="0.2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  <c r="AA576" s="37"/>
      <c r="AB576" s="37"/>
      <c r="AC576" s="37"/>
    </row>
    <row r="577" spans="1:29" ht="12.75" x14ac:dyDescent="0.2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  <c r="AA577" s="37"/>
      <c r="AB577" s="37"/>
      <c r="AC577" s="37"/>
    </row>
    <row r="578" spans="1:29" ht="12.75" x14ac:dyDescent="0.2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  <c r="AA578" s="37"/>
      <c r="AB578" s="37"/>
      <c r="AC578" s="37"/>
    </row>
    <row r="579" spans="1:29" ht="12.75" x14ac:dyDescent="0.2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  <c r="AA579" s="37"/>
      <c r="AB579" s="37"/>
      <c r="AC579" s="37"/>
    </row>
    <row r="580" spans="1:29" ht="12.75" x14ac:dyDescent="0.2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  <c r="AA580" s="37"/>
      <c r="AB580" s="37"/>
      <c r="AC580" s="37"/>
    </row>
    <row r="581" spans="1:29" ht="12.75" x14ac:dyDescent="0.2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  <c r="AA581" s="37"/>
      <c r="AB581" s="37"/>
      <c r="AC581" s="37"/>
    </row>
    <row r="582" spans="1:29" ht="12.75" x14ac:dyDescent="0.2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  <c r="AA582" s="37"/>
      <c r="AB582" s="37"/>
      <c r="AC582" s="37"/>
    </row>
    <row r="583" spans="1:29" ht="12.75" x14ac:dyDescent="0.2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  <c r="AA583" s="37"/>
      <c r="AB583" s="37"/>
      <c r="AC583" s="37"/>
    </row>
    <row r="584" spans="1:29" ht="12.75" x14ac:dyDescent="0.2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  <c r="AA584" s="37"/>
      <c r="AB584" s="37"/>
      <c r="AC584" s="37"/>
    </row>
    <row r="585" spans="1:29" ht="12.75" x14ac:dyDescent="0.2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  <c r="AA585" s="37"/>
      <c r="AB585" s="37"/>
      <c r="AC585" s="37"/>
    </row>
    <row r="586" spans="1:29" ht="12.75" x14ac:dyDescent="0.2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  <c r="AA586" s="37"/>
      <c r="AB586" s="37"/>
      <c r="AC586" s="37"/>
    </row>
    <row r="587" spans="1:29" ht="12.75" x14ac:dyDescent="0.2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  <c r="AA587" s="37"/>
      <c r="AB587" s="37"/>
      <c r="AC587" s="37"/>
    </row>
    <row r="588" spans="1:29" ht="12.75" x14ac:dyDescent="0.2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  <c r="AA588" s="37"/>
      <c r="AB588" s="37"/>
      <c r="AC588" s="37"/>
    </row>
    <row r="589" spans="1:29" ht="12.75" x14ac:dyDescent="0.2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  <c r="AA589" s="37"/>
      <c r="AB589" s="37"/>
      <c r="AC589" s="37"/>
    </row>
    <row r="590" spans="1:29" ht="12.75" x14ac:dyDescent="0.2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  <c r="AA590" s="37"/>
      <c r="AB590" s="37"/>
      <c r="AC590" s="37"/>
    </row>
    <row r="591" spans="1:29" ht="12.75" x14ac:dyDescent="0.2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  <c r="AA591" s="37"/>
      <c r="AB591" s="37"/>
      <c r="AC591" s="37"/>
    </row>
    <row r="592" spans="1:29" ht="12.75" x14ac:dyDescent="0.2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  <c r="AA592" s="37"/>
      <c r="AB592" s="37"/>
      <c r="AC592" s="37"/>
    </row>
    <row r="593" spans="1:29" ht="12.75" x14ac:dyDescent="0.2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  <c r="AA593" s="37"/>
      <c r="AB593" s="37"/>
      <c r="AC593" s="37"/>
    </row>
    <row r="594" spans="1:29" ht="12.75" x14ac:dyDescent="0.2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  <c r="AA594" s="37"/>
      <c r="AB594" s="37"/>
      <c r="AC594" s="37"/>
    </row>
    <row r="595" spans="1:29" ht="12.75" x14ac:dyDescent="0.2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  <c r="AA595" s="37"/>
      <c r="AB595" s="37"/>
      <c r="AC595" s="37"/>
    </row>
    <row r="596" spans="1:29" ht="12.75" x14ac:dyDescent="0.2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  <c r="AA596" s="37"/>
      <c r="AB596" s="37"/>
      <c r="AC596" s="37"/>
    </row>
    <row r="597" spans="1:29" ht="12.75" x14ac:dyDescent="0.2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  <c r="AA597" s="37"/>
      <c r="AB597" s="37"/>
      <c r="AC597" s="37"/>
    </row>
    <row r="598" spans="1:29" ht="12.75" x14ac:dyDescent="0.2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  <c r="AA598" s="37"/>
      <c r="AB598" s="37"/>
      <c r="AC598" s="37"/>
    </row>
    <row r="599" spans="1:29" ht="12.75" x14ac:dyDescent="0.2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  <c r="AA599" s="37"/>
      <c r="AB599" s="37"/>
      <c r="AC599" s="37"/>
    </row>
    <row r="600" spans="1:29" ht="12.75" x14ac:dyDescent="0.2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  <c r="AA600" s="37"/>
      <c r="AB600" s="37"/>
      <c r="AC600" s="37"/>
    </row>
    <row r="601" spans="1:29" ht="12.75" x14ac:dyDescent="0.2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  <c r="AB601" s="37"/>
      <c r="AC601" s="37"/>
    </row>
    <row r="602" spans="1:29" ht="12.75" x14ac:dyDescent="0.2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  <c r="AB602" s="37"/>
      <c r="AC602" s="37"/>
    </row>
    <row r="603" spans="1:29" ht="12.75" x14ac:dyDescent="0.2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  <c r="AB603" s="37"/>
      <c r="AC603" s="37"/>
    </row>
    <row r="604" spans="1:29" ht="12.75" x14ac:dyDescent="0.2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  <c r="AA604" s="37"/>
      <c r="AB604" s="37"/>
      <c r="AC604" s="37"/>
    </row>
    <row r="605" spans="1:29" ht="12.75" x14ac:dyDescent="0.2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  <c r="AA605" s="37"/>
      <c r="AB605" s="37"/>
      <c r="AC605" s="37"/>
    </row>
    <row r="606" spans="1:29" ht="12.75" x14ac:dyDescent="0.2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  <c r="AA606" s="37"/>
      <c r="AB606" s="37"/>
      <c r="AC606" s="37"/>
    </row>
    <row r="607" spans="1:29" ht="12.75" x14ac:dyDescent="0.2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  <c r="AA607" s="37"/>
      <c r="AB607" s="37"/>
      <c r="AC607" s="37"/>
    </row>
    <row r="608" spans="1:29" ht="12.75" x14ac:dyDescent="0.2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  <c r="AA608" s="37"/>
      <c r="AB608" s="37"/>
      <c r="AC608" s="37"/>
    </row>
    <row r="609" spans="1:29" ht="12.75" x14ac:dyDescent="0.2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  <c r="AA609" s="37"/>
      <c r="AB609" s="37"/>
      <c r="AC609" s="37"/>
    </row>
    <row r="610" spans="1:29" ht="12.75" x14ac:dyDescent="0.2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  <c r="AA610" s="37"/>
      <c r="AB610" s="37"/>
      <c r="AC610" s="37"/>
    </row>
    <row r="611" spans="1:29" ht="12.75" x14ac:dyDescent="0.2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  <c r="AA611" s="37"/>
      <c r="AB611" s="37"/>
      <c r="AC611" s="37"/>
    </row>
    <row r="612" spans="1:29" ht="12.75" x14ac:dyDescent="0.2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  <c r="AA612" s="37"/>
      <c r="AB612" s="37"/>
      <c r="AC612" s="37"/>
    </row>
    <row r="613" spans="1:29" ht="12.75" x14ac:dyDescent="0.2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  <c r="AA613" s="37"/>
      <c r="AB613" s="37"/>
      <c r="AC613" s="37"/>
    </row>
    <row r="614" spans="1:29" ht="12.75" x14ac:dyDescent="0.2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  <c r="AA614" s="37"/>
      <c r="AB614" s="37"/>
      <c r="AC614" s="37"/>
    </row>
    <row r="615" spans="1:29" ht="12.75" x14ac:dyDescent="0.2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  <c r="AA615" s="37"/>
      <c r="AB615" s="37"/>
      <c r="AC615" s="37"/>
    </row>
    <row r="616" spans="1:29" ht="12.75" x14ac:dyDescent="0.2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  <c r="AA616" s="37"/>
      <c r="AB616" s="37"/>
      <c r="AC616" s="37"/>
    </row>
    <row r="617" spans="1:29" ht="12.75" x14ac:dyDescent="0.2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  <c r="AA617" s="37"/>
      <c r="AB617" s="37"/>
      <c r="AC617" s="37"/>
    </row>
    <row r="618" spans="1:29" ht="12.75" x14ac:dyDescent="0.2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  <c r="AA618" s="37"/>
      <c r="AB618" s="37"/>
      <c r="AC618" s="37"/>
    </row>
    <row r="619" spans="1:29" ht="12.75" x14ac:dyDescent="0.2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  <c r="AA619" s="37"/>
      <c r="AB619" s="37"/>
      <c r="AC619" s="37"/>
    </row>
    <row r="620" spans="1:29" ht="12.75" x14ac:dyDescent="0.2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  <c r="AA620" s="37"/>
      <c r="AB620" s="37"/>
      <c r="AC620" s="37"/>
    </row>
    <row r="621" spans="1:29" ht="12.75" x14ac:dyDescent="0.2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  <c r="AA621" s="37"/>
      <c r="AB621" s="37"/>
      <c r="AC621" s="37"/>
    </row>
    <row r="622" spans="1:29" ht="12.75" x14ac:dyDescent="0.2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  <c r="AA622" s="37"/>
      <c r="AB622" s="37"/>
      <c r="AC622" s="37"/>
    </row>
    <row r="623" spans="1:29" ht="12.75" x14ac:dyDescent="0.2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  <c r="AA623" s="37"/>
      <c r="AB623" s="37"/>
      <c r="AC623" s="37"/>
    </row>
    <row r="624" spans="1:29" ht="12.75" x14ac:dyDescent="0.2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  <c r="AB624" s="37"/>
      <c r="AC624" s="37"/>
    </row>
    <row r="625" spans="1:29" ht="12.75" x14ac:dyDescent="0.2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  <c r="AA625" s="37"/>
      <c r="AB625" s="37"/>
      <c r="AC625" s="37"/>
    </row>
    <row r="626" spans="1:29" ht="12.75" x14ac:dyDescent="0.2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  <c r="AA626" s="37"/>
      <c r="AB626" s="37"/>
      <c r="AC626" s="37"/>
    </row>
    <row r="627" spans="1:29" ht="12.75" x14ac:dyDescent="0.2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  <c r="AA627" s="37"/>
      <c r="AB627" s="37"/>
      <c r="AC627" s="37"/>
    </row>
    <row r="628" spans="1:29" ht="12.75" x14ac:dyDescent="0.2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  <c r="AA628" s="37"/>
      <c r="AB628" s="37"/>
      <c r="AC628" s="37"/>
    </row>
    <row r="629" spans="1:29" ht="12.75" x14ac:dyDescent="0.2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  <c r="AA629" s="37"/>
      <c r="AB629" s="37"/>
      <c r="AC629" s="37"/>
    </row>
    <row r="630" spans="1:29" ht="12.75" x14ac:dyDescent="0.2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  <c r="AA630" s="37"/>
      <c r="AB630" s="37"/>
      <c r="AC630" s="37"/>
    </row>
    <row r="631" spans="1:29" ht="12.75" x14ac:dyDescent="0.2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  <c r="AA631" s="37"/>
      <c r="AB631" s="37"/>
      <c r="AC631" s="37"/>
    </row>
    <row r="632" spans="1:29" ht="12.75" x14ac:dyDescent="0.2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  <c r="AA632" s="37"/>
      <c r="AB632" s="37"/>
      <c r="AC632" s="37"/>
    </row>
    <row r="633" spans="1:29" ht="12.75" x14ac:dyDescent="0.2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  <c r="AA633" s="37"/>
      <c r="AB633" s="37"/>
      <c r="AC633" s="37"/>
    </row>
    <row r="634" spans="1:29" ht="12.75" x14ac:dyDescent="0.2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  <c r="AA634" s="37"/>
      <c r="AB634" s="37"/>
      <c r="AC634" s="37"/>
    </row>
    <row r="635" spans="1:29" ht="12.75" x14ac:dyDescent="0.2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  <c r="AA635" s="37"/>
      <c r="AB635" s="37"/>
      <c r="AC635" s="37"/>
    </row>
    <row r="636" spans="1:29" ht="12.75" x14ac:dyDescent="0.2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  <c r="AA636" s="37"/>
      <c r="AB636" s="37"/>
      <c r="AC636" s="37"/>
    </row>
    <row r="637" spans="1:29" ht="12.75" x14ac:dyDescent="0.2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  <c r="AA637" s="37"/>
      <c r="AB637" s="37"/>
      <c r="AC637" s="37"/>
    </row>
    <row r="638" spans="1:29" ht="12.75" x14ac:dyDescent="0.2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  <c r="AA638" s="37"/>
      <c r="AB638" s="37"/>
      <c r="AC638" s="37"/>
    </row>
    <row r="639" spans="1:29" ht="12.75" x14ac:dyDescent="0.2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  <c r="AA639" s="37"/>
      <c r="AB639" s="37"/>
      <c r="AC639" s="37"/>
    </row>
    <row r="640" spans="1:29" ht="12.75" x14ac:dyDescent="0.2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  <c r="AA640" s="37"/>
      <c r="AB640" s="37"/>
      <c r="AC640" s="37"/>
    </row>
    <row r="641" spans="1:29" ht="12.75" x14ac:dyDescent="0.2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  <c r="AA641" s="37"/>
      <c r="AB641" s="37"/>
      <c r="AC641" s="37"/>
    </row>
    <row r="642" spans="1:29" ht="12.75" x14ac:dyDescent="0.2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  <c r="AA642" s="37"/>
      <c r="AB642" s="37"/>
      <c r="AC642" s="37"/>
    </row>
    <row r="643" spans="1:29" ht="12.75" x14ac:dyDescent="0.2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  <c r="AA643" s="37"/>
      <c r="AB643" s="37"/>
      <c r="AC643" s="37"/>
    </row>
    <row r="644" spans="1:29" ht="12.75" x14ac:dyDescent="0.2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  <c r="AA644" s="37"/>
      <c r="AB644" s="37"/>
      <c r="AC644" s="37"/>
    </row>
    <row r="645" spans="1:29" ht="12.75" x14ac:dyDescent="0.2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  <c r="AA645" s="37"/>
      <c r="AB645" s="37"/>
      <c r="AC645" s="37"/>
    </row>
    <row r="646" spans="1:29" ht="12.75" x14ac:dyDescent="0.2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  <c r="AA646" s="37"/>
      <c r="AB646" s="37"/>
      <c r="AC646" s="37"/>
    </row>
    <row r="647" spans="1:29" ht="12.75" x14ac:dyDescent="0.2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  <c r="AA647" s="37"/>
      <c r="AB647" s="37"/>
      <c r="AC647" s="37"/>
    </row>
    <row r="648" spans="1:29" ht="12.75" x14ac:dyDescent="0.2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  <c r="AA648" s="37"/>
      <c r="AB648" s="37"/>
      <c r="AC648" s="37"/>
    </row>
    <row r="649" spans="1:29" ht="12.75" x14ac:dyDescent="0.2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  <c r="AA649" s="37"/>
      <c r="AB649" s="37"/>
      <c r="AC649" s="37"/>
    </row>
    <row r="650" spans="1:29" ht="12.75" x14ac:dyDescent="0.2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  <c r="AB650" s="37"/>
      <c r="AC650" s="37"/>
    </row>
    <row r="651" spans="1:29" ht="12.75" x14ac:dyDescent="0.2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  <c r="AA651" s="37"/>
      <c r="AB651" s="37"/>
      <c r="AC651" s="37"/>
    </row>
    <row r="652" spans="1:29" ht="12.75" x14ac:dyDescent="0.2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  <c r="AA652" s="37"/>
      <c r="AB652" s="37"/>
      <c r="AC652" s="37"/>
    </row>
    <row r="653" spans="1:29" ht="12.75" x14ac:dyDescent="0.2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/>
      <c r="AB653" s="37"/>
      <c r="AC653" s="37"/>
    </row>
    <row r="654" spans="1:29" ht="12.75" x14ac:dyDescent="0.2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  <c r="AA654" s="37"/>
      <c r="AB654" s="37"/>
      <c r="AC654" s="37"/>
    </row>
    <row r="655" spans="1:29" ht="12.75" x14ac:dyDescent="0.2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  <c r="AA655" s="37"/>
      <c r="AB655" s="37"/>
      <c r="AC655" s="37"/>
    </row>
    <row r="656" spans="1:29" ht="12.75" x14ac:dyDescent="0.2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  <c r="AA656" s="37"/>
      <c r="AB656" s="37"/>
      <c r="AC656" s="37"/>
    </row>
    <row r="657" spans="1:29" ht="12.75" x14ac:dyDescent="0.2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  <c r="AA657" s="37"/>
      <c r="AB657" s="37"/>
      <c r="AC657" s="37"/>
    </row>
    <row r="658" spans="1:29" ht="12.75" x14ac:dyDescent="0.2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  <c r="AA658" s="37"/>
      <c r="AB658" s="37"/>
      <c r="AC658" s="37"/>
    </row>
    <row r="659" spans="1:29" ht="12.75" x14ac:dyDescent="0.2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  <c r="AA659" s="37"/>
      <c r="AB659" s="37"/>
      <c r="AC659" s="37"/>
    </row>
    <row r="660" spans="1:29" ht="12.75" x14ac:dyDescent="0.2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  <c r="AA660" s="37"/>
      <c r="AB660" s="37"/>
      <c r="AC660" s="37"/>
    </row>
    <row r="661" spans="1:29" ht="12.75" x14ac:dyDescent="0.2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  <c r="AA661" s="37"/>
      <c r="AB661" s="37"/>
      <c r="AC661" s="37"/>
    </row>
    <row r="662" spans="1:29" ht="12.75" x14ac:dyDescent="0.2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  <c r="AA662" s="37"/>
      <c r="AB662" s="37"/>
      <c r="AC662" s="37"/>
    </row>
    <row r="663" spans="1:29" ht="12.75" x14ac:dyDescent="0.2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  <c r="AB663" s="37"/>
      <c r="AC663" s="37"/>
    </row>
    <row r="664" spans="1:29" ht="12.75" x14ac:dyDescent="0.2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  <c r="AA664" s="37"/>
      <c r="AB664" s="37"/>
      <c r="AC664" s="37"/>
    </row>
    <row r="665" spans="1:29" ht="12.75" x14ac:dyDescent="0.2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  <c r="AA665" s="37"/>
      <c r="AB665" s="37"/>
      <c r="AC665" s="37"/>
    </row>
    <row r="666" spans="1:29" ht="12.75" x14ac:dyDescent="0.2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  <c r="AA666" s="37"/>
      <c r="AB666" s="37"/>
      <c r="AC666" s="37"/>
    </row>
    <row r="667" spans="1:29" ht="12.75" x14ac:dyDescent="0.2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  <c r="AA667" s="37"/>
      <c r="AB667" s="37"/>
      <c r="AC667" s="37"/>
    </row>
    <row r="668" spans="1:29" ht="12.75" x14ac:dyDescent="0.2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  <c r="AA668" s="37"/>
      <c r="AB668" s="37"/>
      <c r="AC668" s="37"/>
    </row>
    <row r="669" spans="1:29" ht="12.75" x14ac:dyDescent="0.2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  <c r="AA669" s="37"/>
      <c r="AB669" s="37"/>
      <c r="AC669" s="37"/>
    </row>
    <row r="670" spans="1:29" ht="12.75" x14ac:dyDescent="0.2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  <c r="AB670" s="37"/>
      <c r="AC670" s="37"/>
    </row>
    <row r="671" spans="1:29" ht="12.75" x14ac:dyDescent="0.2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  <c r="AA671" s="37"/>
      <c r="AB671" s="37"/>
      <c r="AC671" s="37"/>
    </row>
    <row r="672" spans="1:29" ht="12.75" x14ac:dyDescent="0.2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  <c r="AA672" s="37"/>
      <c r="AB672" s="37"/>
      <c r="AC672" s="37"/>
    </row>
    <row r="673" spans="1:29" ht="12.75" x14ac:dyDescent="0.2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  <c r="AB673" s="37"/>
      <c r="AC673" s="37"/>
    </row>
    <row r="674" spans="1:29" ht="12.75" x14ac:dyDescent="0.2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  <c r="AA674" s="37"/>
      <c r="AB674" s="37"/>
      <c r="AC674" s="37"/>
    </row>
    <row r="675" spans="1:29" ht="12.75" x14ac:dyDescent="0.2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  <c r="AA675" s="37"/>
      <c r="AB675" s="37"/>
      <c r="AC675" s="37"/>
    </row>
    <row r="676" spans="1:29" ht="12.75" x14ac:dyDescent="0.2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  <c r="AB676" s="37"/>
      <c r="AC676" s="37"/>
    </row>
    <row r="677" spans="1:29" ht="12.75" x14ac:dyDescent="0.2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  <c r="AB677" s="37"/>
      <c r="AC677" s="37"/>
    </row>
    <row r="678" spans="1:29" ht="12.75" x14ac:dyDescent="0.2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  <c r="AB678" s="37"/>
      <c r="AC678" s="37"/>
    </row>
    <row r="679" spans="1:29" ht="12.75" x14ac:dyDescent="0.2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  <c r="AB679" s="37"/>
      <c r="AC679" s="37"/>
    </row>
    <row r="680" spans="1:29" ht="12.75" x14ac:dyDescent="0.2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  <c r="AB680" s="37"/>
      <c r="AC680" s="37"/>
    </row>
    <row r="681" spans="1:29" ht="12.75" x14ac:dyDescent="0.2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  <c r="AB681" s="37"/>
      <c r="AC681" s="37"/>
    </row>
    <row r="682" spans="1:29" ht="12.75" x14ac:dyDescent="0.2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  <c r="AB682" s="37"/>
      <c r="AC682" s="37"/>
    </row>
    <row r="683" spans="1:29" ht="12.75" x14ac:dyDescent="0.2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  <c r="AA683" s="37"/>
      <c r="AB683" s="37"/>
      <c r="AC683" s="37"/>
    </row>
    <row r="684" spans="1:29" ht="12.75" x14ac:dyDescent="0.2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  <c r="AA684" s="37"/>
      <c r="AB684" s="37"/>
      <c r="AC684" s="37"/>
    </row>
    <row r="685" spans="1:29" ht="12.75" x14ac:dyDescent="0.2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  <c r="AA685" s="37"/>
      <c r="AB685" s="37"/>
      <c r="AC685" s="37"/>
    </row>
    <row r="686" spans="1:29" ht="12.75" x14ac:dyDescent="0.2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  <c r="AB686" s="37"/>
      <c r="AC686" s="37"/>
    </row>
    <row r="687" spans="1:29" ht="12.75" x14ac:dyDescent="0.2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  <c r="AA687" s="37"/>
      <c r="AB687" s="37"/>
      <c r="AC687" s="37"/>
    </row>
    <row r="688" spans="1:29" ht="12.75" x14ac:dyDescent="0.2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  <c r="AA688" s="37"/>
      <c r="AB688" s="37"/>
      <c r="AC688" s="37"/>
    </row>
    <row r="689" spans="1:29" ht="12.75" x14ac:dyDescent="0.2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  <c r="AA689" s="37"/>
      <c r="AB689" s="37"/>
      <c r="AC689" s="37"/>
    </row>
    <row r="690" spans="1:29" ht="12.75" x14ac:dyDescent="0.2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  <c r="AA690" s="37"/>
      <c r="AB690" s="37"/>
      <c r="AC690" s="37"/>
    </row>
    <row r="691" spans="1:29" ht="12.75" x14ac:dyDescent="0.2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  <c r="AA691" s="37"/>
      <c r="AB691" s="37"/>
      <c r="AC691" s="37"/>
    </row>
    <row r="692" spans="1:29" ht="12.75" x14ac:dyDescent="0.2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  <c r="AA692" s="37"/>
      <c r="AB692" s="37"/>
      <c r="AC692" s="37"/>
    </row>
    <row r="693" spans="1:29" ht="12.75" x14ac:dyDescent="0.2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  <c r="AA693" s="37"/>
      <c r="AB693" s="37"/>
      <c r="AC693" s="37"/>
    </row>
    <row r="694" spans="1:29" ht="12.75" x14ac:dyDescent="0.2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  <c r="AA694" s="37"/>
      <c r="AB694" s="37"/>
      <c r="AC694" s="37"/>
    </row>
    <row r="695" spans="1:29" ht="12.75" x14ac:dyDescent="0.2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  <c r="AA695" s="37"/>
      <c r="AB695" s="37"/>
      <c r="AC695" s="37"/>
    </row>
    <row r="696" spans="1:29" ht="12.75" x14ac:dyDescent="0.2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  <c r="AA696" s="37"/>
      <c r="AB696" s="37"/>
      <c r="AC696" s="37"/>
    </row>
    <row r="697" spans="1:29" ht="12.75" x14ac:dyDescent="0.2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  <c r="AA697" s="37"/>
      <c r="AB697" s="37"/>
      <c r="AC697" s="37"/>
    </row>
    <row r="698" spans="1:29" ht="12.75" x14ac:dyDescent="0.2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  <c r="AA698" s="37"/>
      <c r="AB698" s="37"/>
      <c r="AC698" s="37"/>
    </row>
    <row r="699" spans="1:29" ht="12.75" x14ac:dyDescent="0.2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  <c r="AA699" s="37"/>
      <c r="AB699" s="37"/>
      <c r="AC699" s="37"/>
    </row>
    <row r="700" spans="1:29" ht="12.75" x14ac:dyDescent="0.2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  <c r="AA700" s="37"/>
      <c r="AB700" s="37"/>
      <c r="AC700" s="37"/>
    </row>
    <row r="701" spans="1:29" ht="12.75" x14ac:dyDescent="0.2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  <c r="AA701" s="37"/>
      <c r="AB701" s="37"/>
      <c r="AC701" s="37"/>
    </row>
    <row r="702" spans="1:29" ht="12.75" x14ac:dyDescent="0.2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  <c r="AA702" s="37"/>
      <c r="AB702" s="37"/>
      <c r="AC702" s="37"/>
    </row>
    <row r="703" spans="1:29" ht="12.75" x14ac:dyDescent="0.2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  <c r="AA703" s="37"/>
      <c r="AB703" s="37"/>
      <c r="AC703" s="37"/>
    </row>
    <row r="704" spans="1:29" ht="12.75" x14ac:dyDescent="0.2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  <c r="AA704" s="37"/>
      <c r="AB704" s="37"/>
      <c r="AC704" s="37"/>
    </row>
    <row r="705" spans="1:29" ht="12.75" x14ac:dyDescent="0.2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  <c r="AA705" s="37"/>
      <c r="AB705" s="37"/>
      <c r="AC705" s="37"/>
    </row>
    <row r="706" spans="1:29" ht="12.75" x14ac:dyDescent="0.2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  <c r="AA706" s="37"/>
      <c r="AB706" s="37"/>
      <c r="AC706" s="37"/>
    </row>
    <row r="707" spans="1:29" ht="12.75" x14ac:dyDescent="0.2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  <c r="AA707" s="37"/>
      <c r="AB707" s="37"/>
      <c r="AC707" s="37"/>
    </row>
    <row r="708" spans="1:29" ht="12.75" x14ac:dyDescent="0.2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  <c r="AA708" s="37"/>
      <c r="AB708" s="37"/>
      <c r="AC708" s="37"/>
    </row>
    <row r="709" spans="1:29" ht="12.75" x14ac:dyDescent="0.2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  <c r="AA709" s="37"/>
      <c r="AB709" s="37"/>
      <c r="AC709" s="37"/>
    </row>
    <row r="710" spans="1:29" ht="12.75" x14ac:dyDescent="0.2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  <c r="AA710" s="37"/>
      <c r="AB710" s="37"/>
      <c r="AC710" s="37"/>
    </row>
    <row r="711" spans="1:29" ht="12.75" x14ac:dyDescent="0.2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  <c r="AA711" s="37"/>
      <c r="AB711" s="37"/>
      <c r="AC711" s="37"/>
    </row>
    <row r="712" spans="1:29" ht="12.75" x14ac:dyDescent="0.2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  <c r="AA712" s="37"/>
      <c r="AB712" s="37"/>
      <c r="AC712" s="37"/>
    </row>
    <row r="713" spans="1:29" ht="12.75" x14ac:dyDescent="0.2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  <c r="AA713" s="37"/>
      <c r="AB713" s="37"/>
      <c r="AC713" s="37"/>
    </row>
    <row r="714" spans="1:29" ht="12.75" x14ac:dyDescent="0.2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  <c r="AA714" s="37"/>
      <c r="AB714" s="37"/>
      <c r="AC714" s="37"/>
    </row>
    <row r="715" spans="1:29" ht="12.75" x14ac:dyDescent="0.2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  <c r="AA715" s="37"/>
      <c r="AB715" s="37"/>
      <c r="AC715" s="37"/>
    </row>
    <row r="716" spans="1:29" ht="12.75" x14ac:dyDescent="0.2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  <c r="AA716" s="37"/>
      <c r="AB716" s="37"/>
      <c r="AC716" s="37"/>
    </row>
    <row r="717" spans="1:29" ht="12.75" x14ac:dyDescent="0.2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  <c r="AA717" s="37"/>
      <c r="AB717" s="37"/>
      <c r="AC717" s="37"/>
    </row>
    <row r="718" spans="1:29" ht="12.75" x14ac:dyDescent="0.2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  <c r="AA718" s="37"/>
      <c r="AB718" s="37"/>
      <c r="AC718" s="37"/>
    </row>
    <row r="719" spans="1:29" ht="12.75" x14ac:dyDescent="0.2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  <c r="AA719" s="37"/>
      <c r="AB719" s="37"/>
      <c r="AC719" s="37"/>
    </row>
    <row r="720" spans="1:29" ht="12.75" x14ac:dyDescent="0.2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  <c r="AA720" s="37"/>
      <c r="AB720" s="37"/>
      <c r="AC720" s="37"/>
    </row>
    <row r="721" spans="1:29" ht="12.75" x14ac:dyDescent="0.2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  <c r="AA721" s="37"/>
      <c r="AB721" s="37"/>
      <c r="AC721" s="37"/>
    </row>
    <row r="722" spans="1:29" ht="12.75" x14ac:dyDescent="0.2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  <c r="AA722" s="37"/>
      <c r="AB722" s="37"/>
      <c r="AC722" s="37"/>
    </row>
    <row r="723" spans="1:29" ht="12.75" x14ac:dyDescent="0.2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  <c r="AA723" s="37"/>
      <c r="AB723" s="37"/>
      <c r="AC723" s="37"/>
    </row>
    <row r="724" spans="1:29" ht="12.75" x14ac:dyDescent="0.2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  <c r="AA724" s="37"/>
      <c r="AB724" s="37"/>
      <c r="AC724" s="37"/>
    </row>
    <row r="725" spans="1:29" ht="12.75" x14ac:dyDescent="0.2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  <c r="AA725" s="37"/>
      <c r="AB725" s="37"/>
      <c r="AC725" s="37"/>
    </row>
    <row r="726" spans="1:29" ht="12.75" x14ac:dyDescent="0.2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  <c r="AA726" s="37"/>
      <c r="AB726" s="37"/>
      <c r="AC726" s="37"/>
    </row>
    <row r="727" spans="1:29" ht="12.75" x14ac:dyDescent="0.2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  <c r="AA727" s="37"/>
      <c r="AB727" s="37"/>
      <c r="AC727" s="37"/>
    </row>
    <row r="728" spans="1:29" ht="12.75" x14ac:dyDescent="0.2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  <c r="AA728" s="37"/>
      <c r="AB728" s="37"/>
      <c r="AC728" s="37"/>
    </row>
    <row r="729" spans="1:29" ht="12.75" x14ac:dyDescent="0.2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  <c r="AA729" s="37"/>
      <c r="AB729" s="37"/>
      <c r="AC729" s="37"/>
    </row>
    <row r="730" spans="1:29" ht="12.75" x14ac:dyDescent="0.2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  <c r="AA730" s="37"/>
      <c r="AB730" s="37"/>
      <c r="AC730" s="37"/>
    </row>
    <row r="731" spans="1:29" ht="12.75" x14ac:dyDescent="0.2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  <c r="AA731" s="37"/>
      <c r="AB731" s="37"/>
      <c r="AC731" s="37"/>
    </row>
    <row r="732" spans="1:29" ht="12.75" x14ac:dyDescent="0.2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  <c r="AA732" s="37"/>
      <c r="AB732" s="37"/>
      <c r="AC732" s="37"/>
    </row>
    <row r="733" spans="1:29" ht="12.75" x14ac:dyDescent="0.2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  <c r="AA733" s="37"/>
      <c r="AB733" s="37"/>
      <c r="AC733" s="37"/>
    </row>
    <row r="734" spans="1:29" ht="12.75" x14ac:dyDescent="0.2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  <c r="AA734" s="37"/>
      <c r="AB734" s="37"/>
      <c r="AC734" s="37"/>
    </row>
    <row r="735" spans="1:29" ht="12.75" x14ac:dyDescent="0.2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  <c r="AA735" s="37"/>
      <c r="AB735" s="37"/>
      <c r="AC735" s="37"/>
    </row>
    <row r="736" spans="1:29" ht="12.75" x14ac:dyDescent="0.2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  <c r="AA736" s="37"/>
      <c r="AB736" s="37"/>
      <c r="AC736" s="37"/>
    </row>
    <row r="737" spans="1:29" ht="12.75" x14ac:dyDescent="0.2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  <c r="AA737" s="37"/>
      <c r="AB737" s="37"/>
      <c r="AC737" s="37"/>
    </row>
    <row r="738" spans="1:29" ht="12.75" x14ac:dyDescent="0.2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  <c r="AA738" s="37"/>
      <c r="AB738" s="37"/>
      <c r="AC738" s="37"/>
    </row>
    <row r="739" spans="1:29" ht="12.75" x14ac:dyDescent="0.2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  <c r="AA739" s="37"/>
      <c r="AB739" s="37"/>
      <c r="AC739" s="37"/>
    </row>
    <row r="740" spans="1:29" ht="12.75" x14ac:dyDescent="0.2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  <c r="AA740" s="37"/>
      <c r="AB740" s="37"/>
      <c r="AC740" s="37"/>
    </row>
    <row r="741" spans="1:29" ht="12.75" x14ac:dyDescent="0.2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  <c r="AA741" s="37"/>
      <c r="AB741" s="37"/>
      <c r="AC741" s="37"/>
    </row>
    <row r="742" spans="1:29" ht="12.75" x14ac:dyDescent="0.2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  <c r="AA742" s="37"/>
      <c r="AB742" s="37"/>
      <c r="AC742" s="37"/>
    </row>
    <row r="743" spans="1:29" ht="12.75" x14ac:dyDescent="0.2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  <c r="AA743" s="37"/>
      <c r="AB743" s="37"/>
      <c r="AC743" s="37"/>
    </row>
    <row r="744" spans="1:29" ht="12.75" x14ac:dyDescent="0.2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  <c r="AA744" s="37"/>
      <c r="AB744" s="37"/>
      <c r="AC744" s="37"/>
    </row>
    <row r="745" spans="1:29" ht="12.75" x14ac:dyDescent="0.2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  <c r="AA745" s="37"/>
      <c r="AB745" s="37"/>
      <c r="AC745" s="37"/>
    </row>
    <row r="746" spans="1:29" ht="12.75" x14ac:dyDescent="0.2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  <c r="AA746" s="37"/>
      <c r="AB746" s="37"/>
      <c r="AC746" s="37"/>
    </row>
    <row r="747" spans="1:29" ht="12.75" x14ac:dyDescent="0.2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  <c r="AA747" s="37"/>
      <c r="AB747" s="37"/>
      <c r="AC747" s="37"/>
    </row>
    <row r="748" spans="1:29" ht="12.75" x14ac:dyDescent="0.2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  <c r="AA748" s="37"/>
      <c r="AB748" s="37"/>
      <c r="AC748" s="37"/>
    </row>
    <row r="749" spans="1:29" ht="12.75" x14ac:dyDescent="0.2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  <c r="AA749" s="37"/>
      <c r="AB749" s="37"/>
      <c r="AC749" s="37"/>
    </row>
    <row r="750" spans="1:29" ht="12.75" x14ac:dyDescent="0.2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  <c r="AA750" s="37"/>
      <c r="AB750" s="37"/>
      <c r="AC750" s="37"/>
    </row>
    <row r="751" spans="1:29" ht="12.75" x14ac:dyDescent="0.2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  <c r="AA751" s="37"/>
      <c r="AB751" s="37"/>
      <c r="AC751" s="37"/>
    </row>
    <row r="752" spans="1:29" ht="12.75" x14ac:dyDescent="0.2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  <c r="AA752" s="37"/>
      <c r="AB752" s="37"/>
      <c r="AC752" s="37"/>
    </row>
    <row r="753" spans="1:29" ht="12.75" x14ac:dyDescent="0.2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  <c r="AA753" s="37"/>
      <c r="AB753" s="37"/>
      <c r="AC753" s="37"/>
    </row>
    <row r="754" spans="1:29" ht="12.75" x14ac:dyDescent="0.2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  <c r="AA754" s="37"/>
      <c r="AB754" s="37"/>
      <c r="AC754" s="37"/>
    </row>
    <row r="755" spans="1:29" ht="12.75" x14ac:dyDescent="0.2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  <c r="AA755" s="37"/>
      <c r="AB755" s="37"/>
      <c r="AC755" s="37"/>
    </row>
    <row r="756" spans="1:29" ht="12.75" x14ac:dyDescent="0.2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  <c r="AA756" s="37"/>
      <c r="AB756" s="37"/>
      <c r="AC756" s="37"/>
    </row>
    <row r="757" spans="1:29" ht="12.75" x14ac:dyDescent="0.2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  <c r="AA757" s="37"/>
      <c r="AB757" s="37"/>
      <c r="AC757" s="37"/>
    </row>
    <row r="758" spans="1:29" ht="12.75" x14ac:dyDescent="0.2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  <c r="AA758" s="37"/>
      <c r="AB758" s="37"/>
      <c r="AC758" s="37"/>
    </row>
    <row r="759" spans="1:29" ht="12.75" x14ac:dyDescent="0.2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  <c r="AA759" s="37"/>
      <c r="AB759" s="37"/>
      <c r="AC759" s="37"/>
    </row>
    <row r="760" spans="1:29" ht="12.75" x14ac:dyDescent="0.2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  <c r="AA760" s="37"/>
      <c r="AB760" s="37"/>
      <c r="AC760" s="37"/>
    </row>
    <row r="761" spans="1:29" ht="12.75" x14ac:dyDescent="0.2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  <c r="AA761" s="37"/>
      <c r="AB761" s="37"/>
      <c r="AC761" s="37"/>
    </row>
    <row r="762" spans="1:29" ht="12.75" x14ac:dyDescent="0.2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  <c r="AA762" s="37"/>
      <c r="AB762" s="37"/>
      <c r="AC762" s="37"/>
    </row>
    <row r="763" spans="1:29" ht="12.75" x14ac:dyDescent="0.2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  <c r="AA763" s="37"/>
      <c r="AB763" s="37"/>
      <c r="AC763" s="37"/>
    </row>
    <row r="764" spans="1:29" ht="12.75" x14ac:dyDescent="0.2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  <c r="AA764" s="37"/>
      <c r="AB764" s="37"/>
      <c r="AC764" s="37"/>
    </row>
    <row r="765" spans="1:29" ht="12.75" x14ac:dyDescent="0.2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  <c r="AB765" s="37"/>
      <c r="AC765" s="37"/>
    </row>
    <row r="766" spans="1:29" ht="12.75" x14ac:dyDescent="0.2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  <c r="AB766" s="37"/>
      <c r="AC766" s="37"/>
    </row>
    <row r="767" spans="1:29" ht="12.75" x14ac:dyDescent="0.2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  <c r="AA767" s="37"/>
      <c r="AB767" s="37"/>
      <c r="AC767" s="37"/>
    </row>
    <row r="768" spans="1:29" ht="12.75" x14ac:dyDescent="0.2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  <c r="AC768" s="37"/>
    </row>
    <row r="769" spans="1:29" ht="12.75" x14ac:dyDescent="0.2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  <c r="AB769" s="37"/>
      <c r="AC769" s="37"/>
    </row>
    <row r="770" spans="1:29" ht="12.75" x14ac:dyDescent="0.2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  <c r="AB770" s="37"/>
      <c r="AC770" s="37"/>
    </row>
    <row r="771" spans="1:29" ht="12.75" x14ac:dyDescent="0.2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  <c r="AC771" s="37"/>
    </row>
    <row r="772" spans="1:29" ht="12.75" x14ac:dyDescent="0.2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  <c r="AC772" s="37"/>
    </row>
    <row r="773" spans="1:29" ht="12.75" x14ac:dyDescent="0.2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  <c r="AB773" s="37"/>
      <c r="AC773" s="37"/>
    </row>
    <row r="774" spans="1:29" ht="12.75" x14ac:dyDescent="0.2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  <c r="AA774" s="37"/>
      <c r="AB774" s="37"/>
      <c r="AC774" s="37"/>
    </row>
    <row r="775" spans="1:29" ht="12.75" x14ac:dyDescent="0.2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  <c r="AA775" s="37"/>
      <c r="AB775" s="37"/>
      <c r="AC775" s="37"/>
    </row>
    <row r="776" spans="1:29" ht="12.75" x14ac:dyDescent="0.2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  <c r="AB776" s="37"/>
      <c r="AC776" s="37"/>
    </row>
    <row r="777" spans="1:29" ht="12.75" x14ac:dyDescent="0.2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  <c r="AA777" s="37"/>
      <c r="AB777" s="37"/>
      <c r="AC777" s="37"/>
    </row>
    <row r="778" spans="1:29" ht="12.75" x14ac:dyDescent="0.2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  <c r="AB778" s="37"/>
      <c r="AC778" s="37"/>
    </row>
    <row r="779" spans="1:29" ht="12.75" x14ac:dyDescent="0.2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  <c r="AB779" s="37"/>
      <c r="AC779" s="37"/>
    </row>
    <row r="780" spans="1:29" ht="12.75" x14ac:dyDescent="0.2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  <c r="AB780" s="37"/>
      <c r="AC780" s="37"/>
    </row>
    <row r="781" spans="1:29" ht="12.75" x14ac:dyDescent="0.2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  <c r="AC781" s="37"/>
    </row>
    <row r="782" spans="1:29" ht="12.75" x14ac:dyDescent="0.2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  <c r="AB782" s="37"/>
      <c r="AC782" s="37"/>
    </row>
    <row r="783" spans="1:29" ht="12.75" x14ac:dyDescent="0.2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  <c r="AA783" s="37"/>
      <c r="AB783" s="37"/>
      <c r="AC783" s="37"/>
    </row>
    <row r="784" spans="1:29" ht="12.75" x14ac:dyDescent="0.2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  <c r="AA784" s="37"/>
      <c r="AB784" s="37"/>
      <c r="AC784" s="37"/>
    </row>
    <row r="785" spans="1:29" ht="12.75" x14ac:dyDescent="0.2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  <c r="AA785" s="37"/>
      <c r="AB785" s="37"/>
      <c r="AC785" s="37"/>
    </row>
    <row r="786" spans="1:29" ht="12.75" x14ac:dyDescent="0.2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  <c r="AA786" s="37"/>
      <c r="AB786" s="37"/>
      <c r="AC786" s="37"/>
    </row>
    <row r="787" spans="1:29" ht="12.75" x14ac:dyDescent="0.2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  <c r="AA787" s="37"/>
      <c r="AB787" s="37"/>
      <c r="AC787" s="37"/>
    </row>
    <row r="788" spans="1:29" ht="12.75" x14ac:dyDescent="0.2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  <c r="AA788" s="37"/>
      <c r="AB788" s="37"/>
      <c r="AC788" s="37"/>
    </row>
    <row r="789" spans="1:29" ht="12.75" x14ac:dyDescent="0.2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  <c r="AA789" s="37"/>
      <c r="AB789" s="37"/>
      <c r="AC789" s="37"/>
    </row>
    <row r="790" spans="1:29" ht="12.75" x14ac:dyDescent="0.2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  <c r="AA790" s="37"/>
      <c r="AB790" s="37"/>
      <c r="AC790" s="37"/>
    </row>
    <row r="791" spans="1:29" ht="12.75" x14ac:dyDescent="0.2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  <c r="AA791" s="37"/>
      <c r="AB791" s="37"/>
      <c r="AC791" s="37"/>
    </row>
    <row r="792" spans="1:29" ht="12.75" x14ac:dyDescent="0.2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  <c r="AA792" s="37"/>
      <c r="AB792" s="37"/>
      <c r="AC792" s="37"/>
    </row>
    <row r="793" spans="1:29" ht="12.75" x14ac:dyDescent="0.2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  <c r="AA793" s="37"/>
      <c r="AB793" s="37"/>
      <c r="AC793" s="37"/>
    </row>
    <row r="794" spans="1:29" ht="12.75" x14ac:dyDescent="0.2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  <c r="AA794" s="37"/>
      <c r="AB794" s="37"/>
      <c r="AC794" s="37"/>
    </row>
    <row r="795" spans="1:29" ht="12.75" x14ac:dyDescent="0.2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  <c r="AA795" s="37"/>
      <c r="AB795" s="37"/>
      <c r="AC795" s="37"/>
    </row>
    <row r="796" spans="1:29" ht="12.75" x14ac:dyDescent="0.2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  <c r="AA796" s="37"/>
      <c r="AB796" s="37"/>
      <c r="AC796" s="37"/>
    </row>
    <row r="797" spans="1:29" ht="12.75" x14ac:dyDescent="0.2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  <c r="AA797" s="37"/>
      <c r="AB797" s="37"/>
      <c r="AC797" s="37"/>
    </row>
    <row r="798" spans="1:29" ht="12.75" x14ac:dyDescent="0.2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  <c r="AA798" s="37"/>
      <c r="AB798" s="37"/>
      <c r="AC798" s="37"/>
    </row>
    <row r="799" spans="1:29" ht="12.75" x14ac:dyDescent="0.2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  <c r="AA799" s="37"/>
      <c r="AB799" s="37"/>
      <c r="AC799" s="37"/>
    </row>
    <row r="800" spans="1:29" ht="12.75" x14ac:dyDescent="0.2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  <c r="AA800" s="37"/>
      <c r="AB800" s="37"/>
      <c r="AC800" s="37"/>
    </row>
    <row r="801" spans="1:29" ht="12.75" x14ac:dyDescent="0.2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  <c r="AB801" s="37"/>
      <c r="AC801" s="37"/>
    </row>
    <row r="802" spans="1:29" ht="12.75" x14ac:dyDescent="0.2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  <c r="AA802" s="37"/>
      <c r="AB802" s="37"/>
      <c r="AC802" s="37"/>
    </row>
    <row r="803" spans="1:29" ht="12.75" x14ac:dyDescent="0.2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  <c r="AC803" s="37"/>
    </row>
    <row r="804" spans="1:29" ht="12.75" x14ac:dyDescent="0.2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  <c r="AA804" s="37"/>
      <c r="AB804" s="37"/>
      <c r="AC804" s="37"/>
    </row>
    <row r="805" spans="1:29" ht="12.75" x14ac:dyDescent="0.2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  <c r="AA805" s="37"/>
      <c r="AB805" s="37"/>
      <c r="AC805" s="37"/>
    </row>
    <row r="806" spans="1:29" ht="12.75" x14ac:dyDescent="0.2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  <c r="AA806" s="37"/>
      <c r="AB806" s="37"/>
      <c r="AC806" s="37"/>
    </row>
    <row r="807" spans="1:29" ht="12.75" x14ac:dyDescent="0.2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  <c r="AA807" s="37"/>
      <c r="AB807" s="37"/>
      <c r="AC807" s="37"/>
    </row>
    <row r="808" spans="1:29" ht="12.75" x14ac:dyDescent="0.2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  <c r="AA808" s="37"/>
      <c r="AB808" s="37"/>
      <c r="AC808" s="37"/>
    </row>
    <row r="809" spans="1:29" ht="12.75" x14ac:dyDescent="0.2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  <c r="AA809" s="37"/>
      <c r="AB809" s="37"/>
      <c r="AC809" s="37"/>
    </row>
    <row r="810" spans="1:29" ht="12.75" x14ac:dyDescent="0.2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  <c r="AA810" s="37"/>
      <c r="AB810" s="37"/>
      <c r="AC810" s="37"/>
    </row>
    <row r="811" spans="1:29" ht="12.75" x14ac:dyDescent="0.2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  <c r="AA811" s="37"/>
      <c r="AB811" s="37"/>
      <c r="AC811" s="37"/>
    </row>
    <row r="812" spans="1:29" ht="12.75" x14ac:dyDescent="0.2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  <c r="AA812" s="37"/>
      <c r="AB812" s="37"/>
      <c r="AC812" s="37"/>
    </row>
    <row r="813" spans="1:29" ht="12.75" x14ac:dyDescent="0.2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  <c r="AA813" s="37"/>
      <c r="AB813" s="37"/>
      <c r="AC813" s="37"/>
    </row>
    <row r="814" spans="1:29" ht="12.75" x14ac:dyDescent="0.2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  <c r="AA814" s="37"/>
      <c r="AB814" s="37"/>
      <c r="AC814" s="37"/>
    </row>
    <row r="815" spans="1:29" ht="12.75" x14ac:dyDescent="0.2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  <c r="AA815" s="37"/>
      <c r="AB815" s="37"/>
      <c r="AC815" s="37"/>
    </row>
    <row r="816" spans="1:29" ht="12.75" x14ac:dyDescent="0.2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  <c r="AA816" s="37"/>
      <c r="AB816" s="37"/>
      <c r="AC816" s="37"/>
    </row>
    <row r="817" spans="1:29" ht="12.75" x14ac:dyDescent="0.2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  <c r="AA817" s="37"/>
      <c r="AB817" s="37"/>
      <c r="AC817" s="37"/>
    </row>
    <row r="818" spans="1:29" ht="12.75" x14ac:dyDescent="0.2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  <c r="AA818" s="37"/>
      <c r="AB818" s="37"/>
      <c r="AC818" s="37"/>
    </row>
    <row r="819" spans="1:29" ht="12.75" x14ac:dyDescent="0.2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  <c r="AA819" s="37"/>
      <c r="AB819" s="37"/>
      <c r="AC819" s="37"/>
    </row>
    <row r="820" spans="1:29" ht="12.75" x14ac:dyDescent="0.2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  <c r="AA820" s="37"/>
      <c r="AB820" s="37"/>
      <c r="AC820" s="37"/>
    </row>
    <row r="821" spans="1:29" ht="12.75" x14ac:dyDescent="0.2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  <c r="AA821" s="37"/>
      <c r="AB821" s="37"/>
      <c r="AC821" s="37"/>
    </row>
    <row r="822" spans="1:29" ht="12.75" x14ac:dyDescent="0.2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  <c r="AA822" s="37"/>
      <c r="AB822" s="37"/>
      <c r="AC822" s="37"/>
    </row>
    <row r="823" spans="1:29" ht="12.75" x14ac:dyDescent="0.2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  <c r="AA823" s="37"/>
      <c r="AB823" s="37"/>
      <c r="AC823" s="37"/>
    </row>
    <row r="824" spans="1:29" ht="12.75" x14ac:dyDescent="0.2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  <c r="AA824" s="37"/>
      <c r="AB824" s="37"/>
      <c r="AC824" s="37"/>
    </row>
    <row r="825" spans="1:29" ht="12.75" x14ac:dyDescent="0.2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  <c r="AA825" s="37"/>
      <c r="AB825" s="37"/>
      <c r="AC825" s="37"/>
    </row>
    <row r="826" spans="1:29" ht="12.75" x14ac:dyDescent="0.2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  <c r="AA826" s="37"/>
      <c r="AB826" s="37"/>
      <c r="AC826" s="37"/>
    </row>
    <row r="827" spans="1:29" ht="12.75" x14ac:dyDescent="0.2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  <c r="AC827" s="37"/>
    </row>
    <row r="828" spans="1:29" ht="12.75" x14ac:dyDescent="0.2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  <c r="AC828" s="37"/>
    </row>
    <row r="829" spans="1:29" ht="12.75" x14ac:dyDescent="0.2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  <c r="AA829" s="37"/>
      <c r="AB829" s="37"/>
      <c r="AC829" s="37"/>
    </row>
    <row r="830" spans="1:29" ht="12.75" x14ac:dyDescent="0.2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  <c r="AC830" s="37"/>
    </row>
    <row r="831" spans="1:29" ht="12.75" x14ac:dyDescent="0.2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  <c r="AC831" s="37"/>
    </row>
    <row r="832" spans="1:29" ht="12.75" x14ac:dyDescent="0.2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  <c r="AA832" s="37"/>
      <c r="AB832" s="37"/>
      <c r="AC832" s="37"/>
    </row>
    <row r="833" spans="1:29" ht="12.75" x14ac:dyDescent="0.2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  <c r="AA833" s="37"/>
      <c r="AB833" s="37"/>
      <c r="AC833" s="37"/>
    </row>
    <row r="834" spans="1:29" ht="12.75" x14ac:dyDescent="0.2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  <c r="AB834" s="37"/>
      <c r="AC834" s="37"/>
    </row>
    <row r="835" spans="1:29" ht="12.75" x14ac:dyDescent="0.2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  <c r="AB835" s="37"/>
      <c r="AC835" s="37"/>
    </row>
    <row r="836" spans="1:29" ht="12.75" x14ac:dyDescent="0.2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  <c r="AB836" s="37"/>
      <c r="AC836" s="37"/>
    </row>
    <row r="837" spans="1:29" ht="12.75" x14ac:dyDescent="0.2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  <c r="AB837" s="37"/>
      <c r="AC837" s="37"/>
    </row>
    <row r="838" spans="1:29" ht="12.75" x14ac:dyDescent="0.2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  <c r="AC838" s="37"/>
    </row>
    <row r="839" spans="1:29" ht="12.75" x14ac:dyDescent="0.2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  <c r="AC839" s="37"/>
    </row>
    <row r="840" spans="1:29" ht="12.75" x14ac:dyDescent="0.2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  <c r="AA840" s="37"/>
      <c r="AB840" s="37"/>
      <c r="AC840" s="37"/>
    </row>
    <row r="841" spans="1:29" ht="12.75" x14ac:dyDescent="0.2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  <c r="AC841" s="37"/>
    </row>
    <row r="842" spans="1:29" ht="12.75" x14ac:dyDescent="0.2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  <c r="AB842" s="37"/>
      <c r="AC842" s="37"/>
    </row>
    <row r="843" spans="1:29" ht="12.75" x14ac:dyDescent="0.2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  <c r="AA843" s="37"/>
      <c r="AB843" s="37"/>
      <c r="AC843" s="37"/>
    </row>
    <row r="844" spans="1:29" ht="12.75" x14ac:dyDescent="0.2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  <c r="AA844" s="37"/>
      <c r="AB844" s="37"/>
      <c r="AC844" s="37"/>
    </row>
    <row r="845" spans="1:29" ht="12.75" x14ac:dyDescent="0.2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  <c r="AA845" s="37"/>
      <c r="AB845" s="37"/>
      <c r="AC845" s="37"/>
    </row>
    <row r="846" spans="1:29" ht="12.75" x14ac:dyDescent="0.2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  <c r="AA846" s="37"/>
      <c r="AB846" s="37"/>
      <c r="AC846" s="37"/>
    </row>
    <row r="847" spans="1:29" ht="12.75" x14ac:dyDescent="0.2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  <c r="AA847" s="37"/>
      <c r="AB847" s="37"/>
      <c r="AC847" s="37"/>
    </row>
    <row r="848" spans="1:29" ht="12.75" x14ac:dyDescent="0.2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  <c r="AA848" s="37"/>
      <c r="AB848" s="37"/>
      <c r="AC848" s="37"/>
    </row>
    <row r="849" spans="1:29" ht="12.75" x14ac:dyDescent="0.2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  <c r="AA849" s="37"/>
      <c r="AB849" s="37"/>
      <c r="AC849" s="37"/>
    </row>
    <row r="850" spans="1:29" ht="12.75" x14ac:dyDescent="0.2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  <c r="AA850" s="37"/>
      <c r="AB850" s="37"/>
      <c r="AC850" s="37"/>
    </row>
    <row r="851" spans="1:29" ht="12.75" x14ac:dyDescent="0.2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  <c r="AA851" s="37"/>
      <c r="AB851" s="37"/>
      <c r="AC851" s="37"/>
    </row>
    <row r="852" spans="1:29" ht="12.75" x14ac:dyDescent="0.2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  <c r="AA852" s="37"/>
      <c r="AB852" s="37"/>
      <c r="AC852" s="37"/>
    </row>
    <row r="853" spans="1:29" ht="12.75" x14ac:dyDescent="0.2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  <c r="AA853" s="37"/>
      <c r="AB853" s="37"/>
      <c r="AC853" s="37"/>
    </row>
    <row r="854" spans="1:29" ht="12.75" x14ac:dyDescent="0.2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  <c r="AA854" s="37"/>
      <c r="AB854" s="37"/>
      <c r="AC854" s="37"/>
    </row>
    <row r="855" spans="1:29" ht="12.75" x14ac:dyDescent="0.2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  <c r="AA855" s="37"/>
      <c r="AB855" s="37"/>
      <c r="AC855" s="37"/>
    </row>
    <row r="856" spans="1:29" ht="12.75" x14ac:dyDescent="0.2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  <c r="AA856" s="37"/>
      <c r="AB856" s="37"/>
      <c r="AC856" s="37"/>
    </row>
    <row r="857" spans="1:29" ht="12.75" x14ac:dyDescent="0.2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  <c r="AA857" s="37"/>
      <c r="AB857" s="37"/>
      <c r="AC857" s="37"/>
    </row>
    <row r="858" spans="1:29" ht="12.75" x14ac:dyDescent="0.2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  <c r="AA858" s="37"/>
      <c r="AB858" s="37"/>
      <c r="AC858" s="37"/>
    </row>
    <row r="859" spans="1:29" ht="12.75" x14ac:dyDescent="0.2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  <c r="AA859" s="37"/>
      <c r="AB859" s="37"/>
      <c r="AC859" s="37"/>
    </row>
    <row r="860" spans="1:29" ht="12.75" x14ac:dyDescent="0.2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  <c r="AA860" s="37"/>
      <c r="AB860" s="37"/>
      <c r="AC860" s="37"/>
    </row>
    <row r="861" spans="1:29" ht="12.75" x14ac:dyDescent="0.2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  <c r="AA861" s="37"/>
      <c r="AB861" s="37"/>
      <c r="AC861" s="37"/>
    </row>
    <row r="862" spans="1:29" ht="12.75" x14ac:dyDescent="0.2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  <c r="AA862" s="37"/>
      <c r="AB862" s="37"/>
      <c r="AC862" s="37"/>
    </row>
    <row r="863" spans="1:29" ht="12.75" x14ac:dyDescent="0.2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  <c r="AA863" s="37"/>
      <c r="AB863" s="37"/>
      <c r="AC863" s="37"/>
    </row>
    <row r="864" spans="1:29" ht="12.75" x14ac:dyDescent="0.2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  <c r="AA864" s="37"/>
      <c r="AB864" s="37"/>
      <c r="AC864" s="37"/>
    </row>
    <row r="865" spans="1:29" ht="12.75" x14ac:dyDescent="0.2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  <c r="AA865" s="37"/>
      <c r="AB865" s="37"/>
      <c r="AC865" s="37"/>
    </row>
    <row r="866" spans="1:29" ht="12.75" x14ac:dyDescent="0.2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  <c r="AA866" s="37"/>
      <c r="AB866" s="37"/>
      <c r="AC866" s="37"/>
    </row>
    <row r="867" spans="1:29" ht="12.75" x14ac:dyDescent="0.2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  <c r="AA867" s="37"/>
      <c r="AB867" s="37"/>
      <c r="AC867" s="37"/>
    </row>
    <row r="868" spans="1:29" ht="12.75" x14ac:dyDescent="0.2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  <c r="AA868" s="37"/>
      <c r="AB868" s="37"/>
      <c r="AC868" s="37"/>
    </row>
    <row r="869" spans="1:29" ht="12.75" x14ac:dyDescent="0.2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  <c r="AA869" s="37"/>
      <c r="AB869" s="37"/>
      <c r="AC869" s="37"/>
    </row>
    <row r="870" spans="1:29" ht="12.75" x14ac:dyDescent="0.2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  <c r="AA870" s="37"/>
      <c r="AB870" s="37"/>
      <c r="AC870" s="37"/>
    </row>
    <row r="871" spans="1:29" ht="12.75" x14ac:dyDescent="0.2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  <c r="AA871" s="37"/>
      <c r="AB871" s="37"/>
      <c r="AC871" s="37"/>
    </row>
    <row r="872" spans="1:29" ht="12.75" x14ac:dyDescent="0.2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  <c r="AA872" s="37"/>
      <c r="AB872" s="37"/>
      <c r="AC872" s="37"/>
    </row>
    <row r="873" spans="1:29" ht="12.75" x14ac:dyDescent="0.2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  <c r="AA873" s="37"/>
      <c r="AB873" s="37"/>
      <c r="AC873" s="37"/>
    </row>
    <row r="874" spans="1:29" ht="12.75" x14ac:dyDescent="0.2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  <c r="AA874" s="37"/>
      <c r="AB874" s="37"/>
      <c r="AC874" s="37"/>
    </row>
    <row r="875" spans="1:29" ht="12.75" x14ac:dyDescent="0.2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  <c r="AA875" s="37"/>
      <c r="AB875" s="37"/>
      <c r="AC875" s="37"/>
    </row>
    <row r="876" spans="1:29" ht="12.75" x14ac:dyDescent="0.2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  <c r="AA876" s="37"/>
      <c r="AB876" s="37"/>
      <c r="AC876" s="37"/>
    </row>
    <row r="877" spans="1:29" ht="12.75" x14ac:dyDescent="0.2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  <c r="AA877" s="37"/>
      <c r="AB877" s="37"/>
      <c r="AC877" s="37"/>
    </row>
    <row r="878" spans="1:29" ht="12.75" x14ac:dyDescent="0.2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  <c r="AA878" s="37"/>
      <c r="AB878" s="37"/>
      <c r="AC878" s="37"/>
    </row>
    <row r="879" spans="1:29" ht="12.75" x14ac:dyDescent="0.2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  <c r="AA879" s="37"/>
      <c r="AB879" s="37"/>
      <c r="AC879" s="37"/>
    </row>
    <row r="880" spans="1:29" ht="12.75" x14ac:dyDescent="0.2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  <c r="AA880" s="37"/>
      <c r="AB880" s="37"/>
      <c r="AC880" s="37"/>
    </row>
    <row r="881" spans="1:29" ht="12.75" x14ac:dyDescent="0.2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  <c r="AA881" s="37"/>
      <c r="AB881" s="37"/>
      <c r="AC881" s="37"/>
    </row>
    <row r="882" spans="1:29" ht="12.75" x14ac:dyDescent="0.2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  <c r="AA882" s="37"/>
      <c r="AB882" s="37"/>
      <c r="AC882" s="37"/>
    </row>
    <row r="883" spans="1:29" ht="12.75" x14ac:dyDescent="0.2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  <c r="AA883" s="37"/>
      <c r="AB883" s="37"/>
      <c r="AC883" s="37"/>
    </row>
    <row r="884" spans="1:29" ht="12.75" x14ac:dyDescent="0.2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  <c r="AA884" s="37"/>
      <c r="AB884" s="37"/>
      <c r="AC884" s="37"/>
    </row>
    <row r="885" spans="1:29" ht="12.75" x14ac:dyDescent="0.2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  <c r="AA885" s="37"/>
      <c r="AB885" s="37"/>
      <c r="AC885" s="37"/>
    </row>
    <row r="886" spans="1:29" ht="12.75" x14ac:dyDescent="0.2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  <c r="AA886" s="37"/>
      <c r="AB886" s="37"/>
      <c r="AC886" s="37"/>
    </row>
    <row r="887" spans="1:29" ht="12.75" x14ac:dyDescent="0.2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  <c r="AA887" s="37"/>
      <c r="AB887" s="37"/>
      <c r="AC887" s="37"/>
    </row>
    <row r="888" spans="1:29" ht="12.75" x14ac:dyDescent="0.2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  <c r="AA888" s="37"/>
      <c r="AB888" s="37"/>
      <c r="AC888" s="37"/>
    </row>
    <row r="889" spans="1:29" ht="12.75" x14ac:dyDescent="0.2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  <c r="AA889" s="37"/>
      <c r="AB889" s="37"/>
      <c r="AC889" s="37"/>
    </row>
    <row r="890" spans="1:29" ht="12.75" x14ac:dyDescent="0.2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  <c r="AA890" s="37"/>
      <c r="AB890" s="37"/>
      <c r="AC890" s="37"/>
    </row>
    <row r="891" spans="1:29" ht="12.75" x14ac:dyDescent="0.2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  <c r="AA891" s="37"/>
      <c r="AB891" s="37"/>
      <c r="AC891" s="37"/>
    </row>
    <row r="892" spans="1:29" ht="12.75" x14ac:dyDescent="0.2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  <c r="AA892" s="37"/>
      <c r="AB892" s="37"/>
      <c r="AC892" s="37"/>
    </row>
    <row r="893" spans="1:29" ht="12.75" x14ac:dyDescent="0.2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  <c r="AA893" s="37"/>
      <c r="AB893" s="37"/>
      <c r="AC893" s="37"/>
    </row>
    <row r="894" spans="1:29" ht="12.75" x14ac:dyDescent="0.2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  <c r="AA894" s="37"/>
      <c r="AB894" s="37"/>
      <c r="AC894" s="37"/>
    </row>
    <row r="895" spans="1:29" ht="12.75" x14ac:dyDescent="0.2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  <c r="AA895" s="37"/>
      <c r="AB895" s="37"/>
      <c r="AC895" s="37"/>
    </row>
    <row r="896" spans="1:29" ht="12.75" x14ac:dyDescent="0.2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  <c r="AA896" s="37"/>
      <c r="AB896" s="37"/>
      <c r="AC896" s="37"/>
    </row>
    <row r="897" spans="1:29" ht="12.75" x14ac:dyDescent="0.2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  <c r="AA897" s="37"/>
      <c r="AB897" s="37"/>
      <c r="AC897" s="37"/>
    </row>
    <row r="898" spans="1:29" ht="12.75" x14ac:dyDescent="0.2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  <c r="AA898" s="37"/>
      <c r="AB898" s="37"/>
      <c r="AC898" s="37"/>
    </row>
    <row r="899" spans="1:29" ht="12.75" x14ac:dyDescent="0.2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  <c r="AA899" s="37"/>
      <c r="AB899" s="37"/>
      <c r="AC899" s="37"/>
    </row>
    <row r="900" spans="1:29" ht="12.75" x14ac:dyDescent="0.2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  <c r="AA900" s="37"/>
      <c r="AB900" s="37"/>
      <c r="AC900" s="37"/>
    </row>
    <row r="901" spans="1:29" ht="12.75" x14ac:dyDescent="0.2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  <c r="AA901" s="37"/>
      <c r="AB901" s="37"/>
      <c r="AC901" s="37"/>
    </row>
    <row r="902" spans="1:29" ht="12.75" x14ac:dyDescent="0.2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  <c r="AA902" s="37"/>
      <c r="AB902" s="37"/>
      <c r="AC902" s="37"/>
    </row>
    <row r="903" spans="1:29" ht="12.75" x14ac:dyDescent="0.2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  <c r="AA903" s="37"/>
      <c r="AB903" s="37"/>
      <c r="AC903" s="37"/>
    </row>
    <row r="904" spans="1:29" ht="12.75" x14ac:dyDescent="0.2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  <c r="AA904" s="37"/>
      <c r="AB904" s="37"/>
      <c r="AC904" s="37"/>
    </row>
    <row r="905" spans="1:29" ht="12.75" x14ac:dyDescent="0.2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  <c r="AA905" s="37"/>
      <c r="AB905" s="37"/>
      <c r="AC905" s="37"/>
    </row>
    <row r="906" spans="1:29" ht="12.75" x14ac:dyDescent="0.2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  <c r="AA906" s="37"/>
      <c r="AB906" s="37"/>
      <c r="AC906" s="37"/>
    </row>
    <row r="907" spans="1:29" ht="12.75" x14ac:dyDescent="0.2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  <c r="AA907" s="37"/>
      <c r="AB907" s="37"/>
      <c r="AC907" s="37"/>
    </row>
    <row r="908" spans="1:29" ht="12.75" x14ac:dyDescent="0.2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  <c r="AA908" s="37"/>
      <c r="AB908" s="37"/>
      <c r="AC908" s="37"/>
    </row>
    <row r="909" spans="1:29" ht="12.75" x14ac:dyDescent="0.2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  <c r="AA909" s="37"/>
      <c r="AB909" s="37"/>
      <c r="AC909" s="37"/>
    </row>
    <row r="910" spans="1:29" ht="12.75" x14ac:dyDescent="0.2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  <c r="AA910" s="37"/>
      <c r="AB910" s="37"/>
      <c r="AC910" s="37"/>
    </row>
    <row r="911" spans="1:29" ht="12.75" x14ac:dyDescent="0.2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  <c r="AA911" s="37"/>
      <c r="AB911" s="37"/>
      <c r="AC911" s="37"/>
    </row>
    <row r="912" spans="1:29" ht="12.75" x14ac:dyDescent="0.2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  <c r="AA912" s="37"/>
      <c r="AB912" s="37"/>
      <c r="AC912" s="37"/>
    </row>
    <row r="913" spans="1:29" ht="12.75" x14ac:dyDescent="0.2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  <c r="AA913" s="37"/>
      <c r="AB913" s="37"/>
      <c r="AC913" s="37"/>
    </row>
    <row r="914" spans="1:29" ht="12.75" x14ac:dyDescent="0.2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  <c r="AA914" s="37"/>
      <c r="AB914" s="37"/>
      <c r="AC914" s="37"/>
    </row>
    <row r="915" spans="1:29" ht="12.75" x14ac:dyDescent="0.2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  <c r="AA915" s="37"/>
      <c r="AB915" s="37"/>
      <c r="AC915" s="37"/>
    </row>
    <row r="916" spans="1:29" ht="12.75" x14ac:dyDescent="0.2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  <c r="AA916" s="37"/>
      <c r="AB916" s="37"/>
      <c r="AC916" s="37"/>
    </row>
    <row r="917" spans="1:29" ht="12.75" x14ac:dyDescent="0.2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  <c r="AA917" s="37"/>
      <c r="AB917" s="37"/>
      <c r="AC917" s="37"/>
    </row>
    <row r="918" spans="1:29" ht="12.75" x14ac:dyDescent="0.2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  <c r="AA918" s="37"/>
      <c r="AB918" s="37"/>
      <c r="AC918" s="37"/>
    </row>
    <row r="919" spans="1:29" ht="12.75" x14ac:dyDescent="0.2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  <c r="AA919" s="37"/>
      <c r="AB919" s="37"/>
      <c r="AC919" s="37"/>
    </row>
    <row r="920" spans="1:29" ht="12.75" x14ac:dyDescent="0.2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  <c r="AA920" s="37"/>
      <c r="AB920" s="37"/>
      <c r="AC920" s="37"/>
    </row>
    <row r="921" spans="1:29" ht="12.75" x14ac:dyDescent="0.2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  <c r="AA921" s="37"/>
      <c r="AB921" s="37"/>
      <c r="AC921" s="37"/>
    </row>
    <row r="922" spans="1:29" ht="12.75" x14ac:dyDescent="0.2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  <c r="AA922" s="37"/>
      <c r="AB922" s="37"/>
      <c r="AC922" s="37"/>
    </row>
    <row r="923" spans="1:29" ht="12.75" x14ac:dyDescent="0.2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  <c r="AA923" s="37"/>
      <c r="AB923" s="37"/>
      <c r="AC923" s="37"/>
    </row>
    <row r="924" spans="1:29" ht="12.75" x14ac:dyDescent="0.2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  <c r="AA924" s="37"/>
      <c r="AB924" s="37"/>
      <c r="AC924" s="37"/>
    </row>
    <row r="925" spans="1:29" ht="12.75" x14ac:dyDescent="0.2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  <c r="AA925" s="37"/>
      <c r="AB925" s="37"/>
      <c r="AC925" s="37"/>
    </row>
    <row r="926" spans="1:29" ht="12.75" x14ac:dyDescent="0.2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  <c r="AA926" s="37"/>
      <c r="AB926" s="37"/>
      <c r="AC926" s="37"/>
    </row>
    <row r="927" spans="1:29" ht="12.75" x14ac:dyDescent="0.2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  <c r="AA927" s="37"/>
      <c r="AB927" s="37"/>
      <c r="AC927" s="37"/>
    </row>
    <row r="928" spans="1:29" ht="12.75" x14ac:dyDescent="0.2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  <c r="AA928" s="37"/>
      <c r="AB928" s="37"/>
      <c r="AC928" s="37"/>
    </row>
    <row r="929" spans="1:29" ht="12.75" x14ac:dyDescent="0.2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  <c r="AA929" s="37"/>
      <c r="AB929" s="37"/>
      <c r="AC929" s="37"/>
    </row>
    <row r="930" spans="1:29" ht="12.75" x14ac:dyDescent="0.2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  <c r="AA930" s="37"/>
      <c r="AB930" s="37"/>
      <c r="AC930" s="37"/>
    </row>
    <row r="931" spans="1:29" ht="12.75" x14ac:dyDescent="0.2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  <c r="AA931" s="37"/>
      <c r="AB931" s="37"/>
      <c r="AC931" s="37"/>
    </row>
    <row r="932" spans="1:29" ht="12.75" x14ac:dyDescent="0.2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  <c r="AA932" s="37"/>
      <c r="AB932" s="37"/>
      <c r="AC932" s="37"/>
    </row>
    <row r="933" spans="1:29" ht="12.75" x14ac:dyDescent="0.2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  <c r="AA933" s="37"/>
      <c r="AB933" s="37"/>
      <c r="AC933" s="37"/>
    </row>
    <row r="934" spans="1:29" ht="12.75" x14ac:dyDescent="0.2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  <c r="AA934" s="37"/>
      <c r="AB934" s="37"/>
      <c r="AC934" s="37"/>
    </row>
    <row r="935" spans="1:29" ht="12.75" x14ac:dyDescent="0.2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  <c r="AA935" s="37"/>
      <c r="AB935" s="37"/>
      <c r="AC935" s="37"/>
    </row>
    <row r="936" spans="1:29" ht="12.75" x14ac:dyDescent="0.2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  <c r="AA936" s="37"/>
      <c r="AB936" s="37"/>
      <c r="AC936" s="37"/>
    </row>
    <row r="937" spans="1:29" ht="12.75" x14ac:dyDescent="0.2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  <c r="AA937" s="37"/>
      <c r="AB937" s="37"/>
      <c r="AC937" s="37"/>
    </row>
    <row r="938" spans="1:29" ht="12.75" x14ac:dyDescent="0.2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  <c r="AA938" s="37"/>
      <c r="AB938" s="37"/>
      <c r="AC938" s="37"/>
    </row>
    <row r="939" spans="1:29" ht="12.75" x14ac:dyDescent="0.2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  <c r="AA939" s="37"/>
      <c r="AB939" s="37"/>
      <c r="AC939" s="37"/>
    </row>
    <row r="940" spans="1:29" ht="12.75" x14ac:dyDescent="0.2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  <c r="AA940" s="37"/>
      <c r="AB940" s="37"/>
      <c r="AC940" s="37"/>
    </row>
    <row r="941" spans="1:29" ht="12.75" x14ac:dyDescent="0.2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  <c r="AA941" s="37"/>
      <c r="AB941" s="37"/>
      <c r="AC941" s="37"/>
    </row>
    <row r="942" spans="1:29" ht="12.75" x14ac:dyDescent="0.2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  <c r="AA942" s="37"/>
      <c r="AB942" s="37"/>
      <c r="AC942" s="37"/>
    </row>
    <row r="943" spans="1:29" ht="12.75" x14ac:dyDescent="0.2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  <c r="AA943" s="37"/>
      <c r="AB943" s="37"/>
      <c r="AC943" s="37"/>
    </row>
    <row r="944" spans="1:29" ht="12.75" x14ac:dyDescent="0.2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  <c r="AA944" s="37"/>
      <c r="AB944" s="37"/>
      <c r="AC944" s="37"/>
    </row>
    <row r="945" spans="1:29" ht="12.75" x14ac:dyDescent="0.2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  <c r="AA945" s="37"/>
      <c r="AB945" s="37"/>
      <c r="AC945" s="37"/>
    </row>
    <row r="946" spans="1:29" ht="12.75" x14ac:dyDescent="0.2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  <c r="AA946" s="37"/>
      <c r="AB946" s="37"/>
      <c r="AC946" s="37"/>
    </row>
    <row r="947" spans="1:29" ht="12.75" x14ac:dyDescent="0.2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  <c r="AA947" s="37"/>
      <c r="AB947" s="37"/>
      <c r="AC947" s="37"/>
    </row>
    <row r="948" spans="1:29" ht="12.75" x14ac:dyDescent="0.2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  <c r="AA948" s="37"/>
      <c r="AB948" s="37"/>
      <c r="AC948" s="37"/>
    </row>
    <row r="949" spans="1:29" ht="12.75" x14ac:dyDescent="0.2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  <c r="AA949" s="37"/>
      <c r="AB949" s="37"/>
      <c r="AC949" s="37"/>
    </row>
    <row r="950" spans="1:29" ht="12.75" x14ac:dyDescent="0.2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  <c r="AA950" s="37"/>
      <c r="AB950" s="37"/>
      <c r="AC950" s="37"/>
    </row>
    <row r="951" spans="1:29" ht="12.75" x14ac:dyDescent="0.2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  <c r="AA951" s="37"/>
      <c r="AB951" s="37"/>
      <c r="AC951" s="37"/>
    </row>
    <row r="952" spans="1:29" ht="12.75" x14ac:dyDescent="0.2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  <c r="AA952" s="37"/>
      <c r="AB952" s="37"/>
      <c r="AC952" s="37"/>
    </row>
    <row r="953" spans="1:29" ht="12.75" x14ac:dyDescent="0.2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  <c r="AA953" s="37"/>
      <c r="AB953" s="37"/>
      <c r="AC953" s="37"/>
    </row>
    <row r="954" spans="1:29" ht="12.75" x14ac:dyDescent="0.2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  <c r="AA954" s="37"/>
      <c r="AB954" s="37"/>
      <c r="AC954" s="37"/>
    </row>
    <row r="955" spans="1:29" ht="12.75" x14ac:dyDescent="0.2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  <c r="AA955" s="37"/>
      <c r="AB955" s="37"/>
      <c r="AC955" s="37"/>
    </row>
    <row r="956" spans="1:29" ht="12.75" x14ac:dyDescent="0.2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  <c r="AA956" s="37"/>
      <c r="AB956" s="37"/>
      <c r="AC956" s="37"/>
    </row>
    <row r="957" spans="1:29" ht="12.75" x14ac:dyDescent="0.2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  <c r="AA957" s="37"/>
      <c r="AB957" s="37"/>
      <c r="AC957" s="37"/>
    </row>
    <row r="958" spans="1:29" ht="12.75" x14ac:dyDescent="0.2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  <c r="AA958" s="37"/>
      <c r="AB958" s="37"/>
      <c r="AC958" s="37"/>
    </row>
    <row r="959" spans="1:29" ht="12.75" x14ac:dyDescent="0.2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  <c r="AA959" s="37"/>
      <c r="AB959" s="37"/>
      <c r="AC959" s="37"/>
    </row>
    <row r="960" spans="1:29" ht="12.75" x14ac:dyDescent="0.2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  <c r="AA960" s="37"/>
      <c r="AB960" s="37"/>
      <c r="AC960" s="37"/>
    </row>
    <row r="961" spans="1:29" ht="12.75" x14ac:dyDescent="0.2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  <c r="AA961" s="37"/>
      <c r="AB961" s="37"/>
      <c r="AC961" s="37"/>
    </row>
    <row r="962" spans="1:29" ht="12.75" x14ac:dyDescent="0.2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  <c r="AA962" s="37"/>
      <c r="AB962" s="37"/>
      <c r="AC962" s="37"/>
    </row>
    <row r="963" spans="1:29" ht="12.75" x14ac:dyDescent="0.2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  <c r="AA963" s="37"/>
      <c r="AB963" s="37"/>
      <c r="AC963" s="37"/>
    </row>
    <row r="964" spans="1:29" ht="12.75" x14ac:dyDescent="0.2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  <c r="AA964" s="37"/>
      <c r="AB964" s="37"/>
      <c r="AC964" s="37"/>
    </row>
    <row r="965" spans="1:29" ht="12.75" x14ac:dyDescent="0.2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  <c r="AA965" s="37"/>
      <c r="AB965" s="37"/>
      <c r="AC965" s="37"/>
    </row>
    <row r="966" spans="1:29" ht="12.75" x14ac:dyDescent="0.2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  <c r="AA966" s="37"/>
      <c r="AB966" s="37"/>
      <c r="AC966" s="37"/>
    </row>
    <row r="967" spans="1:29" ht="12.75" x14ac:dyDescent="0.2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  <c r="AA967" s="37"/>
      <c r="AB967" s="37"/>
      <c r="AC967" s="37"/>
    </row>
    <row r="968" spans="1:29" ht="12.75" x14ac:dyDescent="0.2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  <c r="AA968" s="37"/>
      <c r="AB968" s="37"/>
      <c r="AC968" s="37"/>
    </row>
    <row r="969" spans="1:29" ht="12.75" x14ac:dyDescent="0.2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  <c r="AA969" s="37"/>
      <c r="AB969" s="37"/>
      <c r="AC969" s="37"/>
    </row>
    <row r="970" spans="1:29" ht="12.75" x14ac:dyDescent="0.2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  <c r="AA970" s="37"/>
      <c r="AB970" s="37"/>
      <c r="AC970" s="37"/>
    </row>
    <row r="971" spans="1:29" ht="12.75" x14ac:dyDescent="0.2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  <c r="AA971" s="37"/>
      <c r="AB971" s="37"/>
      <c r="AC971" s="37"/>
    </row>
    <row r="972" spans="1:29" ht="12.75" x14ac:dyDescent="0.2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  <c r="AA972" s="37"/>
      <c r="AB972" s="37"/>
      <c r="AC972" s="37"/>
    </row>
    <row r="973" spans="1:29" ht="12.75" x14ac:dyDescent="0.2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  <c r="AA973" s="37"/>
      <c r="AB973" s="37"/>
      <c r="AC973" s="37"/>
    </row>
    <row r="974" spans="1:29" ht="12.75" x14ac:dyDescent="0.2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  <c r="AA974" s="37"/>
      <c r="AB974" s="37"/>
      <c r="AC974" s="37"/>
    </row>
    <row r="975" spans="1:29" ht="12.75" x14ac:dyDescent="0.2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  <c r="AA975" s="37"/>
      <c r="AB975" s="37"/>
      <c r="AC975" s="37"/>
    </row>
    <row r="976" spans="1:29" ht="12.75" x14ac:dyDescent="0.2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  <c r="AA976" s="37"/>
      <c r="AB976" s="37"/>
      <c r="AC976" s="37"/>
    </row>
    <row r="977" spans="1:29" ht="12.75" x14ac:dyDescent="0.2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  <c r="AA977" s="37"/>
      <c r="AB977" s="37"/>
      <c r="AC977" s="37"/>
    </row>
    <row r="978" spans="1:29" ht="12.75" x14ac:dyDescent="0.2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  <c r="AA978" s="37"/>
      <c r="AB978" s="37"/>
      <c r="AC978" s="37"/>
    </row>
    <row r="979" spans="1:29" ht="12.75" x14ac:dyDescent="0.2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  <c r="AA979" s="37"/>
      <c r="AB979" s="37"/>
      <c r="AC979" s="37"/>
    </row>
    <row r="980" spans="1:29" ht="12.75" x14ac:dyDescent="0.2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  <c r="AA980" s="37"/>
      <c r="AB980" s="37"/>
      <c r="AC980" s="37"/>
    </row>
    <row r="981" spans="1:29" ht="12.75" x14ac:dyDescent="0.2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  <c r="AA981" s="37"/>
      <c r="AB981" s="37"/>
      <c r="AC981" s="37"/>
    </row>
    <row r="982" spans="1:29" ht="12.75" x14ac:dyDescent="0.2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  <c r="AA982" s="37"/>
      <c r="AB982" s="37"/>
      <c r="AC982" s="37"/>
    </row>
    <row r="983" spans="1:29" ht="12.75" x14ac:dyDescent="0.2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  <c r="AA983" s="37"/>
      <c r="AB983" s="37"/>
      <c r="AC983" s="37"/>
    </row>
    <row r="984" spans="1:29" ht="12.75" x14ac:dyDescent="0.2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  <c r="AA984" s="37"/>
      <c r="AB984" s="37"/>
      <c r="AC984" s="37"/>
    </row>
    <row r="985" spans="1:29" ht="12.75" x14ac:dyDescent="0.2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  <c r="AA985" s="37"/>
      <c r="AB985" s="37"/>
      <c r="AC985" s="37"/>
    </row>
    <row r="986" spans="1:29" ht="12.75" x14ac:dyDescent="0.2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  <c r="AA986" s="37"/>
      <c r="AB986" s="37"/>
      <c r="AC986" s="37"/>
    </row>
    <row r="987" spans="1:29" ht="12.75" x14ac:dyDescent="0.2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  <c r="AA987" s="37"/>
      <c r="AB987" s="37"/>
      <c r="AC987" s="37"/>
    </row>
    <row r="988" spans="1:29" ht="12.75" x14ac:dyDescent="0.2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  <c r="AA988" s="37"/>
      <c r="AB988" s="37"/>
      <c r="AC988" s="37"/>
    </row>
    <row r="989" spans="1:29" ht="12.75" x14ac:dyDescent="0.2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  <c r="AA989" s="37"/>
      <c r="AB989" s="37"/>
      <c r="AC989" s="37"/>
    </row>
    <row r="990" spans="1:29" ht="12.75" x14ac:dyDescent="0.2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  <c r="AA990" s="37"/>
      <c r="AB990" s="37"/>
      <c r="AC990" s="37"/>
    </row>
    <row r="991" spans="1:29" ht="12.75" x14ac:dyDescent="0.2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  <c r="AA991" s="37"/>
      <c r="AB991" s="37"/>
      <c r="AC991" s="37"/>
    </row>
    <row r="992" spans="1:29" ht="12.75" x14ac:dyDescent="0.2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  <c r="AA992" s="37"/>
      <c r="AB992" s="37"/>
      <c r="AC992" s="37"/>
    </row>
    <row r="993" spans="1:29" ht="12.75" x14ac:dyDescent="0.2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  <c r="AA993" s="37"/>
      <c r="AB993" s="37"/>
      <c r="AC993" s="37"/>
    </row>
    <row r="994" spans="1:29" ht="12.75" x14ac:dyDescent="0.2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  <c r="AA994" s="37"/>
      <c r="AB994" s="37"/>
      <c r="AC994" s="37"/>
    </row>
    <row r="995" spans="1:29" ht="12.75" x14ac:dyDescent="0.2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  <c r="AA995" s="37"/>
      <c r="AB995" s="37"/>
      <c r="AC995" s="37"/>
    </row>
    <row r="996" spans="1:29" ht="12.75" x14ac:dyDescent="0.2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  <c r="AA996" s="37"/>
      <c r="AB996" s="37"/>
      <c r="AC996" s="37"/>
    </row>
    <row r="997" spans="1:29" ht="12.75" x14ac:dyDescent="0.2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  <c r="AA997" s="37"/>
      <c r="AB997" s="37"/>
      <c r="AC997" s="37"/>
    </row>
    <row r="998" spans="1:29" ht="12.75" x14ac:dyDescent="0.2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37"/>
      <c r="Z998" s="37"/>
      <c r="AA998" s="37"/>
      <c r="AB998" s="37"/>
      <c r="AC998" s="37"/>
    </row>
    <row r="999" spans="1:29" ht="12.75" x14ac:dyDescent="0.2">
      <c r="A999" s="37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  <c r="AA999" s="37"/>
      <c r="AB999" s="37"/>
      <c r="AC999" s="37"/>
    </row>
    <row r="1000" spans="1:29" ht="12.75" x14ac:dyDescent="0.2">
      <c r="A1000" s="37"/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  <c r="Z1000" s="37"/>
      <c r="AA1000" s="37"/>
      <c r="AB1000" s="37"/>
      <c r="AC1000" s="37"/>
    </row>
    <row r="1001" spans="1:29" ht="12.75" x14ac:dyDescent="0.2">
      <c r="A1001" s="37"/>
      <c r="B1001" s="37"/>
      <c r="C1001" s="37"/>
      <c r="D1001" s="37"/>
      <c r="E1001" s="37"/>
      <c r="F1001" s="37"/>
      <c r="G1001" s="37"/>
      <c r="H1001" s="37"/>
      <c r="I1001" s="37"/>
      <c r="J1001" s="37"/>
      <c r="K1001" s="37"/>
      <c r="L1001" s="37"/>
      <c r="M1001" s="37"/>
      <c r="N1001" s="37"/>
      <c r="O1001" s="37"/>
      <c r="P1001" s="37"/>
      <c r="Q1001" s="37"/>
      <c r="R1001" s="37"/>
      <c r="S1001" s="37"/>
      <c r="T1001" s="37"/>
      <c r="U1001" s="37"/>
      <c r="V1001" s="37"/>
      <c r="W1001" s="37"/>
      <c r="X1001" s="37"/>
      <c r="Y1001" s="37"/>
      <c r="Z1001" s="37"/>
      <c r="AA1001" s="37"/>
      <c r="AB1001" s="37"/>
      <c r="AC1001" s="37"/>
    </row>
    <row r="1002" spans="1:29" ht="12.75" x14ac:dyDescent="0.2">
      <c r="A1002" s="37"/>
      <c r="B1002" s="37"/>
      <c r="C1002" s="37"/>
      <c r="D1002" s="37"/>
      <c r="E1002" s="37"/>
      <c r="F1002" s="37"/>
      <c r="G1002" s="37"/>
      <c r="H1002" s="37"/>
      <c r="I1002" s="37"/>
      <c r="J1002" s="37"/>
      <c r="K1002" s="37"/>
      <c r="L1002" s="37"/>
      <c r="M1002" s="37"/>
      <c r="N1002" s="37"/>
      <c r="O1002" s="37"/>
      <c r="P1002" s="37"/>
      <c r="Q1002" s="37"/>
      <c r="R1002" s="37"/>
      <c r="S1002" s="37"/>
      <c r="T1002" s="37"/>
      <c r="U1002" s="37"/>
      <c r="V1002" s="37"/>
      <c r="W1002" s="37"/>
      <c r="X1002" s="37"/>
      <c r="Y1002" s="37"/>
      <c r="Z1002" s="37"/>
      <c r="AA1002" s="37"/>
      <c r="AB1002" s="37"/>
      <c r="AC1002" s="37"/>
    </row>
    <row r="1003" spans="1:29" ht="12.75" x14ac:dyDescent="0.2">
      <c r="A1003" s="37"/>
      <c r="B1003" s="37"/>
      <c r="C1003" s="37"/>
      <c r="D1003" s="37"/>
      <c r="E1003" s="37"/>
      <c r="F1003" s="37"/>
      <c r="G1003" s="37"/>
      <c r="H1003" s="37"/>
      <c r="I1003" s="37"/>
      <c r="J1003" s="37"/>
      <c r="K1003" s="37"/>
      <c r="L1003" s="37"/>
      <c r="M1003" s="37"/>
      <c r="N1003" s="37"/>
      <c r="O1003" s="37"/>
      <c r="P1003" s="37"/>
      <c r="Q1003" s="37"/>
      <c r="R1003" s="37"/>
      <c r="S1003" s="37"/>
      <c r="T1003" s="37"/>
      <c r="U1003" s="37"/>
      <c r="V1003" s="37"/>
      <c r="W1003" s="37"/>
      <c r="X1003" s="37"/>
      <c r="Y1003" s="37"/>
      <c r="Z1003" s="37"/>
      <c r="AA1003" s="37"/>
      <c r="AB1003" s="37"/>
      <c r="AC1003" s="37"/>
    </row>
    <row r="1004" spans="1:29" ht="12.75" x14ac:dyDescent="0.2">
      <c r="A1004" s="37"/>
      <c r="B1004" s="37"/>
      <c r="C1004" s="37"/>
      <c r="D1004" s="37"/>
      <c r="E1004" s="37"/>
      <c r="F1004" s="37"/>
      <c r="G1004" s="37"/>
      <c r="H1004" s="37"/>
      <c r="I1004" s="37"/>
      <c r="J1004" s="37"/>
      <c r="K1004" s="37"/>
      <c r="L1004" s="37"/>
      <c r="M1004" s="37"/>
      <c r="N1004" s="37"/>
      <c r="O1004" s="37"/>
      <c r="P1004" s="37"/>
      <c r="Q1004" s="37"/>
      <c r="R1004" s="37"/>
      <c r="S1004" s="37"/>
      <c r="T1004" s="37"/>
      <c r="U1004" s="37"/>
      <c r="V1004" s="37"/>
      <c r="W1004" s="37"/>
      <c r="X1004" s="37"/>
      <c r="Y1004" s="37"/>
      <c r="Z1004" s="37"/>
      <c r="AA1004" s="37"/>
      <c r="AB1004" s="37"/>
      <c r="AC1004" s="37"/>
    </row>
    <row r="1005" spans="1:29" ht="12.75" x14ac:dyDescent="0.2">
      <c r="A1005" s="37"/>
      <c r="B1005" s="37"/>
      <c r="C1005" s="37"/>
      <c r="D1005" s="37"/>
      <c r="E1005" s="37"/>
      <c r="F1005" s="37"/>
      <c r="G1005" s="37"/>
      <c r="H1005" s="37"/>
      <c r="I1005" s="37"/>
      <c r="J1005" s="37"/>
      <c r="K1005" s="37"/>
      <c r="L1005" s="37"/>
      <c r="M1005" s="37"/>
      <c r="N1005" s="37"/>
      <c r="O1005" s="37"/>
      <c r="P1005" s="37"/>
      <c r="Q1005" s="37"/>
      <c r="R1005" s="37"/>
      <c r="S1005" s="37"/>
      <c r="T1005" s="37"/>
      <c r="U1005" s="37"/>
      <c r="V1005" s="37"/>
      <c r="W1005" s="37"/>
      <c r="X1005" s="37"/>
      <c r="Y1005" s="37"/>
      <c r="Z1005" s="37"/>
      <c r="AA1005" s="37"/>
      <c r="AB1005" s="37"/>
      <c r="AC1005" s="37"/>
    </row>
    <row r="1006" spans="1:29" ht="12.75" x14ac:dyDescent="0.2">
      <c r="A1006" s="37"/>
      <c r="B1006" s="37"/>
      <c r="C1006" s="37"/>
      <c r="D1006" s="37"/>
      <c r="E1006" s="37"/>
      <c r="F1006" s="37"/>
      <c r="G1006" s="37"/>
      <c r="H1006" s="37"/>
      <c r="I1006" s="37"/>
      <c r="J1006" s="37"/>
      <c r="K1006" s="37"/>
      <c r="L1006" s="37"/>
      <c r="M1006" s="37"/>
      <c r="N1006" s="37"/>
      <c r="O1006" s="37"/>
      <c r="P1006" s="37"/>
      <c r="Q1006" s="37"/>
      <c r="R1006" s="37"/>
      <c r="S1006" s="37"/>
      <c r="T1006" s="37"/>
      <c r="U1006" s="37"/>
      <c r="V1006" s="37"/>
      <c r="W1006" s="37"/>
      <c r="X1006" s="37"/>
      <c r="Y1006" s="37"/>
      <c r="Z1006" s="37"/>
      <c r="AA1006" s="37"/>
      <c r="AB1006" s="37"/>
      <c r="AC1006" s="37"/>
    </row>
  </sheetData>
  <mergeCells count="1">
    <mergeCell ref="B2:G3"/>
  </mergeCells>
  <printOptions horizontalCentered="1"/>
  <pageMargins left="0.7" right="0.7" top="0.75" bottom="0.75" header="0" footer="0"/>
  <pageSetup paperSize="9" fitToWidth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WAFTA Summer 2026</vt:lpstr>
      <vt:lpstr>Rolling 12%</vt:lpstr>
      <vt:lpstr>Grading - Summer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Johnston</dc:creator>
  <cp:lastModifiedBy>John Johnston</cp:lastModifiedBy>
  <dcterms:created xsi:type="dcterms:W3CDTF">2026-05-19T11:08:54Z</dcterms:created>
  <dcterms:modified xsi:type="dcterms:W3CDTF">2026-05-19T11:08:54Z</dcterms:modified>
</cp:coreProperties>
</file>